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 (3)" sheetId="1" r:id="rId1"/>
    <sheet name="бланк" sheetId="2" r:id="rId2"/>
    <sheet name="Лист1 (2)" sheetId="3" state="hidden" r:id="rId3"/>
    <sheet name="Лист1" sheetId="4" state="hidden" r:id="rId4"/>
    <sheet name="Лист2" sheetId="5" state="hidden" r:id="rId5"/>
    <sheet name="Лист3" sheetId="6" state="hidden" r:id="rId6"/>
  </sheets>
  <externalReferences>
    <externalReference r:id="rId9"/>
  </externalReferences>
  <definedNames>
    <definedName name="_xlnm.Print_Area" localSheetId="1">'бланк'!$A$1:$S$62</definedName>
    <definedName name="_xlnm.Print_Area" localSheetId="3">'Лист1'!$A$1:$R$193</definedName>
    <definedName name="_xlnm.Print_Area" localSheetId="2">'Лист1 (2)'!$A$1:$R$231</definedName>
    <definedName name="_xlnm.Print_Area" localSheetId="0">'Лист1 (3)'!$A$1:$R$226</definedName>
  </definedNames>
  <calcPr fullCalcOnLoad="1"/>
</workbook>
</file>

<file path=xl/sharedStrings.xml><?xml version="1.0" encoding="utf-8"?>
<sst xmlns="http://schemas.openxmlformats.org/spreadsheetml/2006/main" count="767" uniqueCount="268">
  <si>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</si>
  <si>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</si>
  <si>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</si>
  <si>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</si>
  <si>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</si>
  <si>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</si>
  <si>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</si>
  <si>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</si>
  <si>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</si>
  <si>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</si>
  <si>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</si>
  <si>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</si>
  <si>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r>
      <t xml:space="preserve">на период с </t>
    </r>
    <r>
      <rPr>
        <u val="single"/>
        <sz val="11"/>
        <color indexed="8"/>
        <rFont val="Times New Roman"/>
        <family val="1"/>
      </rPr>
      <t>01.01.2012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31.12.2012</t>
    </r>
    <r>
      <rPr>
        <sz val="11"/>
        <color indexed="8"/>
        <rFont val="Times New Roman"/>
        <family val="1"/>
      </rPr>
      <t>.</t>
    </r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</si>
  <si>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автономное образовательное учреждение многопрофильная гимназия N 13 г. Пензы</t>
    </r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</si>
  <si>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</si>
  <si>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</si>
  <si>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</si>
  <si>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</si>
  <si>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</si>
  <si>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</si>
  <si>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Способ установления цены муниципальной услуги</t>
  </si>
  <si>
    <t>Предмет (содержание) муниципальной услуги</t>
  </si>
  <si>
    <t>Орган местного самоуправления, ответственный за организацию предоставления муниципальной услуги</t>
  </si>
  <si>
    <t>Потребитель муниципальной услуги</t>
  </si>
  <si>
    <t>Наименование вопроса местного значения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</si>
  <si>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</si>
  <si>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РГ-А-2000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</si>
  <si>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</si>
  <si>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1 учащийся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</si>
  <si>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</si>
  <si>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</si>
  <si>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</si>
  <si>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Управление образования города Пензы</t>
  </si>
  <si>
    <t>Население школьного возраста (6,5-18 лет)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</si>
  <si>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</si>
  <si>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</si>
  <si>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3. Правовые основания предоставления муниципальной услуги:</t>
  </si>
  <si>
    <t>Наименование расходного обязательства в соответствии с реестром раходных обязательств города Пензы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</si>
  <si>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</si>
  <si>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</si>
  <si>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</si>
  <si>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</si>
  <si>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</si>
  <si>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</si>
  <si>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</si>
  <si>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</si>
  <si>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</si>
  <si>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</si>
  <si>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</si>
  <si>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</si>
  <si>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4. Плановый объем оказываемых муниципальных услуг (в натуральных показателях):</t>
  </si>
  <si>
    <t>Наименование муниципальной услуги (элемента детацизации)</t>
  </si>
  <si>
    <t>Объем оказания услуги по месяцам &lt;*&gt;</t>
  </si>
  <si>
    <t>Объем услуг за год</t>
  </si>
  <si>
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</si>
  <si>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</si>
  <si>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</si>
  <si>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</si>
  <si>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&lt;*&gt;</t>
  </si>
  <si>
    <t>по кварталам, в случае выбора квартальной детализации объема услуг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</si>
  <si>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</si>
  <si>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 Плановый объем оказываемых муниципальных услуг (в стоимостных показателях).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</si>
  <si>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</si>
  <si>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Год</t>
  </si>
  <si>
    <t>Объем услуг за год, руб.</t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</si>
  <si>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</si>
  <si>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t xml:space="preserve"> 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</si>
  <si>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</si>
  <si>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</si>
  <si>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Объем оказания услуги по месяцам &lt;*&gt;, руб.</t>
  </si>
  <si>
    <t>Затраты, непосредственно связанные с оказанием муниципальной услуги,за счет бюджета города Пензы &lt;рубли&gt;</t>
  </si>
  <si>
    <t>Норматив затрат на единицу услуги</t>
  </si>
  <si>
    <t>Сумма затрат на предоставление услуги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</si>
  <si>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</si>
  <si>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</si>
  <si>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 на содержание имущества, &lt;рубли&gt;</t>
  </si>
  <si>
    <t>Затраты, на общехозяйственные нужды, за счет бюджета Пезенской области &lt;рубли&gt;</t>
  </si>
  <si>
    <t>Совокупный объем предоставления услуги, рассчитанный нормативным способом</t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</si>
  <si>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</si>
  <si>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</si>
  <si>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Пензы, в том числе: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</si>
  <si>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</si>
  <si>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</si>
  <si>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</si>
  <si>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Ежемесячное денежное вознаграждение за классное руководство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</si>
  <si>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</si>
  <si>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</si>
  <si>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развитияй "Совершенствование эксплуатации зданий и сооружений и укрепление материально-технической базы муниципальных автономных учреждений образования города Пензы на 2011 годы"</t>
  </si>
  <si>
    <t>Долгосрочная целевая программа Энергосбережения и повышения энергоэффективности в городе Пензе на период 2010-2020 годов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</si>
  <si>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</si>
  <si>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</si>
  <si>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</si>
  <si>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>Долгосрочная целевая программа "Школьное молоко" на период 2011-2013 годы"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</si>
  <si>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</si>
  <si>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 xml:space="preserve"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</t>
  </si>
  <si>
    <t>Подпрограмма "Организация отдыха, оздоровления и занятости детей и подростков" (в оздоровительных лагерях с дневным пребыванием детей в период школьных каникул)</t>
  </si>
  <si>
    <t>…….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</si>
  <si>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</si>
  <si>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</si>
  <si>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</si>
  <si>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</si>
  <si>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</si>
  <si>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Ограничение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</si>
  <si>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</si>
  <si>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</si>
  <si>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</si>
  <si>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</si>
  <si>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</si>
  <si>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</si>
  <si>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</si>
  <si>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 xml:space="preserve">Наличие жалоб на деятельность Учреждения         </t>
  </si>
  <si>
    <t>да/нет</t>
  </si>
  <si>
    <t>нет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</si>
  <si>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</si>
  <si>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</si>
  <si>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</si>
  <si>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Да/нет             </t>
  </si>
  <si>
    <t>да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</si>
  <si>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</si>
  <si>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</si>
  <si>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</si>
  <si>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</si>
  <si>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</si>
  <si>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</si>
  <si>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</si>
  <si>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1 раз в месяц</t>
  </si>
  <si>
    <t>6.2. Годовые показатели оценки качества муниципальной услуги &lt;**&gt;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</si>
  <si>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</si>
  <si>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</si>
  <si>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</si>
  <si>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</si>
  <si>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</si>
  <si>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</si>
  <si>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</si>
  <si>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</si>
  <si>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</si>
  <si>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</si>
  <si>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</si>
  <si>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</si>
  <si>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</si>
  <si>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</si>
  <si>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</si>
  <si>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</si>
  <si>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</si>
  <si>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</si>
  <si>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</si>
  <si>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</si>
  <si>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В соответствии со стандартом качества предоставляемой услуги, согласно постановления Администрации города Пензы № 682/1 от 19.05.2009 г.ОБ УТВЕРЖДЕНИИ СТАНДАРТА КАЧЕСТВА ПРЕДОСТАВЛЕНИЯ МУНИЦИПАЛЬНОЙ УСЛУГИ " ОРГАНИЗАЦИЯ ПРЕДОСТАВЛЕНИЯ ОБЩЕДОСТУПНОГО И БЕСПАТНОГО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</si>
  <si>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</si>
  <si>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</si>
  <si>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</si>
  <si>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11. Порядок контроля за исполнением муниципального задания, в том числе, условия и порядок его досрочного прекращения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</si>
  <si>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</si>
  <si>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12. Требования к отчетности об исполнении муниципального задания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</si>
  <si>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</si>
  <si>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</si>
  <si>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</si>
  <si>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</si>
  <si>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</si>
  <si>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</si>
  <si>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Начальник Управления образования</t>
  </si>
  <si>
    <t>Ю.А.Голодяев</t>
  </si>
  <si>
    <t>(Ф.И.О.)</t>
  </si>
  <si>
    <t>Дата</t>
  </si>
  <si>
    <t>Подпись</t>
  </si>
  <si>
    <t>Директор МАОУ гимназия №13 г. Пензы</t>
  </si>
  <si>
    <t>Е.Ю.Тымченко</t>
  </si>
  <si>
    <t>Определение нормативных затрат по  _МАОУ ГИМНАЗИЯ №13  по месяцам.</t>
  </si>
  <si>
    <t>КОСГУ</t>
  </si>
  <si>
    <t>месяц</t>
  </si>
  <si>
    <t>1 квартал</t>
  </si>
  <si>
    <t>2 квартал</t>
  </si>
  <si>
    <t>3 квартал</t>
  </si>
  <si>
    <t>4 квартал</t>
  </si>
  <si>
    <t>СУБВЕНЦИЯ</t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</si>
  <si>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(УЧИТЕЛЯ,ОБЖ)</t>
    </r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</si>
  <si>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(ВСЕ ОСТАЛЬНЫЕ ДОЛЖНОСТИ)</t>
    </r>
  </si>
  <si>
    <t>МЕСТНЫЙ</t>
  </si>
  <si>
    <t>Компенсация на метод. Литературу</t>
  </si>
  <si>
    <t>затраты на компенсационные выплаты по уходу за ребенком</t>
  </si>
  <si>
    <t xml:space="preserve">приобретение услуг связи </t>
  </si>
  <si>
    <t>Коммунальные услуги</t>
  </si>
  <si>
    <t>Коммунальные услуги (из блока3)</t>
  </si>
  <si>
    <t>Услуги по вывозу мусора</t>
  </si>
  <si>
    <t>Услуги по тех.обслуживание ТС</t>
  </si>
  <si>
    <t xml:space="preserve">Услуги по дератизации и дезинсекции </t>
  </si>
  <si>
    <t>Услуги тех.обслуживанию пожарной сигнализации</t>
  </si>
  <si>
    <t>то средств радиомодема для прямой связи</t>
  </si>
  <si>
    <t>текущий ремонт оборудования</t>
  </si>
  <si>
    <t>итого по косгу 225</t>
  </si>
  <si>
    <t>Услуги тревожная кнопка</t>
  </si>
  <si>
    <t>Услуги по утилизация ртутосодержащих отходов</t>
  </si>
  <si>
    <t>мед. осмотр</t>
  </si>
  <si>
    <t>итого по косгу 226</t>
  </si>
  <si>
    <t>Приобретение основных средств</t>
  </si>
  <si>
    <t>Приобретение материальныз запасов</t>
  </si>
  <si>
    <t>итого по субвенции</t>
  </si>
  <si>
    <t>итого по местному бюджету блок 1</t>
  </si>
  <si>
    <t>итого по 2 блоку</t>
  </si>
  <si>
    <t>субвенция</t>
  </si>
  <si>
    <t>местные</t>
  </si>
  <si>
    <t>итого по 1 блоку</t>
  </si>
  <si>
    <t>Налоги</t>
  </si>
  <si>
    <t>итого по 3 блоку</t>
  </si>
  <si>
    <t>ВСЕГО СМЕТА</t>
  </si>
  <si>
    <t>Директор_________________________________</t>
  </si>
  <si>
    <t>Гл.бухгалтер ____________________________________</t>
  </si>
  <si>
    <t>Косгу 223 справочно заполнить и не распечатывать</t>
  </si>
  <si>
    <t>теплоэнергия</t>
  </si>
  <si>
    <t>горячее водоснабжение</t>
  </si>
  <si>
    <t>электроэнергия</t>
  </si>
  <si>
    <t>вода и канализация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</si>
  <si>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01.01.2011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31.12.2011</t>
    </r>
    <r>
      <rPr>
        <sz val="11"/>
        <color indexed="8"/>
        <rFont val="Times New Roman"/>
        <family val="1"/>
      </rPr>
      <t>.</t>
    </r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</si>
  <si>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общеобразовательное  учреждение средняя общеобразовательная школа №16 г. Пензы                                                                                                                        .</t>
    </r>
  </si>
  <si>
    <t xml:space="preserve"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</t>
  </si>
  <si>
    <t>Бюджет Пензенской области ( субвенция на финансирование общеобразовательных учреждений в части реализации ими государственного стандарта общего образования), бюджет города Пензы</t>
  </si>
  <si>
    <t>Ообеспечение образовательного процесса  руководящим, административно- хозяйственным , учебно-вспомогательным и прочим персоналом образовательного процесса. Материально-техническое обеспечение образовательного процесса . Материально- техническое обеспечение образовательного процесса, программно- методическое, техническое, консультацилнное, информационно- 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в рамках индивидуального обучения на дому; в группах продленного дня. Предоставление обучающимся зданий и иных помещений, отвечающих установленным строительным, санитарным и т.п.правилам и нормам. Обеспечение содержания и ремонта предоставленныхзданий и иных помещений в в соответствии со стандартами  качества. Обеспечение помещения услугами тепло-, электро- и водоснабжения, услугами водоотведения. Организация питания детей (школа-детский сад, прогимназия, школа-интернат) и обеспечение материальными запасами, не относящимися к основным средствам.</t>
  </si>
  <si>
    <t xml:space="preserve">1)Конституция РФ ст.43, 2)Федеральный Закон от 06.10.2003 №131-ФЗ "Об общих принципах организации местного самоуправленияРФ" ст.16, пункт1, подпункт13(с изм. и доп.). 3) Закон РФ от 10.07.1992 №3266-1 "Об образовании",ст.31, п.1, пп.1,4; ст.41 ( с изм. и доп.). 4) Закон РФ от 24.07.1998 №124-ФЗ " Об основных гарантиях прав ребенкав РФ", ст.13 (с изм. и доп.). 5) Закон Пензенской области от 16.09.1999 №166-ЗПО ( с изм. и доп.) " Об образовании в Пензенской области", ст.2, ст.12, ст.20(п.7), ст.22 (п.1-3, 5-8), ст.23 (п.2,3,5.1,7), ст.23.1, ст.27 6) Устав города Пензы ( с изм. и доп.), принят Решением Пензенской городской Думы от 30.06.2005 №130-12/4: ст.5 (п.3,п.4, п.13), ст19 (п.1.11), ст.33 (п.1.33.а), ст.39 6) Положение об Управлении образования города Пензы, утвержденное Постановлением Главы администрации города Пензы от 30.03.2006 ( с изм. и доп.):раздел II, п.2.2,пп 2.2.1, 2.2.3, 2.2.4, 2.2.5, 2.2.6, 2.2.9 </t>
  </si>
  <si>
    <t>по кварталам, в случае выбора квартальной детацизации объема услуг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</si>
  <si>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</si>
  <si>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Ведомственная целевая программа развития "Дошкольное детство (2011-2013 гг.)"</t>
  </si>
  <si>
    <t>Директор МОУ СОШ №16</t>
  </si>
  <si>
    <t>А.Г.Куницкий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</si>
  <si>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01.07.2011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31.12.2011</t>
    </r>
    <r>
      <rPr>
        <sz val="11"/>
        <color indexed="8"/>
        <rFont val="Times New Roman"/>
        <family val="1"/>
      </rPr>
      <t>.</t>
    </r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</si>
  <si>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дошкольное образовательное учреждение детский сад № 57 г. Пензы                                                                                                                        .</t>
    </r>
  </si>
  <si>
    <t xml:space="preserve">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</t>
  </si>
  <si>
    <t>1 воспитанник</t>
  </si>
  <si>
    <t>бюджет города Пензы</t>
  </si>
  <si>
    <t>нормативный, метод индексации, программно-целевой метод</t>
  </si>
  <si>
    <t xml:space="preserve">Ообеспечение образовательного процесса  руководящим, административно- хозяйственным , учебно-вспомогательным и прочим персоналом. Материально-техническое обеспечение образовательно- воспитательного процесса реализации общеразвивающих, корреционных программ в группах разных возрастных категорий и временипребывания детей в ДОУ.- </t>
  </si>
  <si>
    <t>Население дошкольного возраста (1-7 лет)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</si>
  <si>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</t>
  </si>
  <si>
    <t xml:space="preserve">1)Конституция РФ ст.43, Федеральный Закон от 06.10.2003 №131-ФЗ "Об общих принципах организации местного самоуправленияРФ" ст.16, пункт1, подпункт13(с изм. и доп.). 3) Закон РФ от 10.07.1992 №3266-1 "Об образовании",ст.5,п.3; ст.31,п.1,пп2,4; ст.52.1 п1,2; ст.52.2п.3 ( с изм. и доп.). 4) Закон РФ от 24.07.1998 №124-ФЗ " Об основных гарантиях прав ребенкав РФ", ст.13 (с изм. и доп.). 5) Устав города Пензы ( с изм. и доп.), принят Решением Пензенской городской Думы от 30.06.2005 №130-12/4: ст.5 п.1,пп13; ст.139, п.1, пп1.1,1.2а, 1.6, 1.9, 1.8, 1.20;6) Положение об Управленииобразования города Пензы, утвержденное Постановлением Главы администрации города Пензы от 30.03.2006 ( с изм. и доп.):раздел II, п.2.2,пп2.2.2, 2.2.4, 2.2.5, 2.2.6, 2.2.9. </t>
  </si>
  <si>
    <t>Предоставление детям дошкольного возраста помещений, отвечающих установленным строительным, санитарным и т.п.правилам и нормам. - Обеспечение содержания и ремонта предоставленных зданий и иных помещений в соответствии со стандартами качества.- Обеспечение помещения услугами тепло-, энерго- и водоснабжения,услугами водоотведения. -Организация питания детей и обеспечение материальными запасами, неотносящимися к основным средствам.</t>
  </si>
  <si>
    <t>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Финансированиерасходов, связанных с предоставлением компенсации части родительской (компенсации) за содержание детей в муниципальныхобразовательных учреждениях, реализующих программу дошкольногообразования, является расходным обязательствомсубъектов Российской Федерации</t>
  </si>
  <si>
    <t>администрации города Пензы от 30.03.2006 ( с изм. и доп.):раздел II, п.2.2,пп2.2.2, 2.2.4, 2.2.5, 2.2.6, 2.2.9. 7) Положение о порядкекомплектования муниципальных образовательных учреждениях города Пензы, реализующих общеобразовательные программы дошкольного образования, утверденного приказом Управления образования от 29.05.2007 №199/1. 8) Постановление Правительства РФ от 20.12.2006 №849 "О перечне затрат, учитываемых при установленииродительской платы за содержание ребенка в государственных и муниципальных образовательных учреждениях, реализующих основнуюобщеобразовательную программу дошкольного образования". 9) Постановление Правительства Пензенской области от 26.06.2007 №125-пП, 10) ПостановлениеГлавы администрации города Пензы от 13.02.2006 №113 ( с изм. и доп.). 11) Постановление Главы администрации города Пензы от 27.10.2008 №1805, 12) Положение о порядке взимания с родителей платы за содержание детей и выплаты компенсации родителям сачти родительской платы за содержание детей в мун. обр.учреждениях города Пензы, утвержденное  Приказом Управления образования города Пензы от 04.06.2007 №207</t>
  </si>
  <si>
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   в том числе:</t>
  </si>
  <si>
    <t>Затраты, непосредственно связанные с оказанием муниципальной услуги, &lt;воспитанники&gt;</t>
  </si>
  <si>
    <t>Затраты, на общехозяйственные нужды, &lt;воспитанники&gt;</t>
  </si>
  <si>
    <t>Затраты на содержание имущества, &lt;воспитанники&gt;</t>
  </si>
  <si>
    <t xml:space="preserve">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</t>
  </si>
  <si>
    <t>Затраты, непосредственно связанные с оказанием муниципальной услуги, &lt;рубли&gt;</t>
  </si>
  <si>
    <t>Затраты, на общехозяйственные нужды, &lt;рубли&gt;</t>
  </si>
  <si>
    <t>Совокупный объем предоставления услуги "Организация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учреждении" на территории города Пензы, в том числе:</t>
  </si>
  <si>
    <t xml:space="preserve">Мероприятия по выполнению наказов избирателей в области дошкольного образования, поступивших депутатам Пензенской городской Думы </t>
  </si>
  <si>
    <t>Поддержание температуры воздуха в Учреждении</t>
  </si>
  <si>
    <t xml:space="preserve">+21 - +24 – 
в групповом помещении,                +19 - +20 – 
в спальном помещении
</t>
  </si>
  <si>
    <t xml:space="preserve">Предупреждение травматизма детей </t>
  </si>
  <si>
    <t>отсутствие травм</t>
  </si>
  <si>
    <t>Внедрение комплекса закаливающих мероприятий с использованием природных факторов (вода, воздух, солнечные  лучи)</t>
  </si>
  <si>
    <t>не менее 3 видов</t>
  </si>
  <si>
    <t>Использование в режиме дня разных форм организаций двигательной активности детей  (утренняя гимнастика, физкультурные занятия, физкультминутки, корригирующая гимнастика, дни здоровья, физкультурные досуги и развлечения, подвижные игры, элементы спортивных игр, кружки физкультурной направленности, индивидуальная работа)</t>
  </si>
  <si>
    <t>не менее 5 форм</t>
  </si>
  <si>
    <t>Общий уровень укомплектованности кадрами по штатному   расписанию</t>
  </si>
  <si>
    <t>не менее 95%</t>
  </si>
  <si>
    <t>Использование детской мебели с учетом антропометрических показателей</t>
  </si>
  <si>
    <t>не менее 2 размеров</t>
  </si>
  <si>
    <t>Снижение среднегодового количества дней,  пропущенных одним ребёнком по болезни</t>
  </si>
  <si>
    <t>не более 14,5 дня</t>
  </si>
  <si>
    <t>Доля потребителей Услуги, удовлетворённых условиями и качеством предоставления Услуги)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</si>
  <si>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образовательного учреждении</t>
  </si>
  <si>
    <t>В соответствии со стандартом качества предоставляемой услуги, согласно постановления Администрации города Пензы № 682 от 19.05.2009 г.ОБ УТВЕРЖДЕНИИ СТАНДАРТА КАЧЕСТВА ПРЕДОСТАВЛЕНИЯ МУНИЦИПАЛЬНОЙ УСЛУГИ " ОРГАНИЗАЦИЯ ПРЕДОСТАВЛЕНИЯ ОБЩЕДОСТУПНОГО БЕСПАТНОГО ДОШКОЛЬНОГО ОБРАЗОВАНИЯ И ВОСПИТАНИЯ, СОДЕРЖАНИЕ РЕБЕНКА В ДОШКОЛЬНОМ ОБРАЗОВАТЕЛЬНОМ УЧРЕЖДЕНИИ" НА ТЕРРИТОРИИ ГОРОДА ПЕНЗЫ</t>
  </si>
  <si>
    <t>Заведующая МДОУ №57</t>
  </si>
  <si>
    <t xml:space="preserve">В.И. Курбатова </t>
  </si>
  <si>
    <t>т/о теплового узла</t>
  </si>
  <si>
    <t>повышение квалификации</t>
  </si>
  <si>
    <t>сопровождение программы 1С:</t>
  </si>
  <si>
    <t xml:space="preserve">Исполнение государственных полномочий по осуществлению денежных выплат молодым специалистам (педагогическим работникам) муниципальных общеобразовательных учреждений и образовательных учреждений дополнительного образования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</si>
</sst>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6" fillId="0" borderId="11" xfId="0" applyNumberFormat="1" applyFont="1" applyBorder="1" applyAlignment="1">
      <alignment textRotation="90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textRotation="90"/>
    </xf>
    <xf numFmtId="2" fontId="3" fillId="33" borderId="11" xfId="0" applyNumberFormat="1" applyFont="1" applyFill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3" fillId="33" borderId="11" xfId="0" applyFont="1" applyFill="1" applyBorder="1" applyAlignment="1">
      <alignment textRotation="90"/>
    </xf>
    <xf numFmtId="0" fontId="6" fillId="0" borderId="11" xfId="0" applyFont="1" applyBorder="1" applyAlignment="1">
      <alignment textRotation="90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9" fontId="6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9" fontId="2" fillId="0" borderId="11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17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/>
    </xf>
    <xf numFmtId="0" fontId="11" fillId="36" borderId="11" xfId="0" applyFont="1" applyFill="1" applyBorder="1" applyAlignment="1">
      <alignment vertical="top" wrapText="1"/>
    </xf>
    <xf numFmtId="0" fontId="13" fillId="36" borderId="11" xfId="0" applyFont="1" applyFill="1" applyBorder="1" applyAlignment="1">
      <alignment horizontal="right"/>
    </xf>
    <xf numFmtId="0" fontId="13" fillId="36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3" fillId="36" borderId="11" xfId="0" applyFont="1" applyFill="1" applyBorder="1" applyAlignment="1">
      <alignment/>
    </xf>
    <xf numFmtId="4" fontId="13" fillId="36" borderId="11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4" fontId="13" fillId="36" borderId="0" xfId="0" applyNumberFormat="1" applyFont="1" applyFill="1" applyAlignment="1">
      <alignment/>
    </xf>
    <xf numFmtId="0" fontId="11" fillId="34" borderId="11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0" fontId="11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4" fontId="0" fillId="0" borderId="11" xfId="0" applyNumberFormat="1" applyFill="1" applyBorder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1" fillId="35" borderId="11" xfId="0" applyFont="1" applyFill="1" applyBorder="1" applyAlignment="1">
      <alignment vertical="top" wrapText="1"/>
    </xf>
    <xf numFmtId="0" fontId="13" fillId="35" borderId="11" xfId="0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11" fillId="37" borderId="11" xfId="0" applyFont="1" applyFill="1" applyBorder="1" applyAlignment="1">
      <alignment vertical="top" wrapText="1"/>
    </xf>
    <xf numFmtId="0" fontId="13" fillId="37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7" borderId="0" xfId="0" applyFont="1" applyFill="1" applyAlignment="1">
      <alignment/>
    </xf>
    <xf numFmtId="0" fontId="11" fillId="33" borderId="11" xfId="0" applyFont="1" applyFill="1" applyBorder="1" applyAlignment="1">
      <alignment vertical="top" wrapText="1"/>
    </xf>
    <xf numFmtId="0" fontId="13" fillId="33" borderId="0" xfId="0" applyFont="1" applyFill="1" applyAlignment="1">
      <alignment/>
    </xf>
    <xf numFmtId="0" fontId="13" fillId="36" borderId="11" xfId="0" applyFont="1" applyFill="1" applyBorder="1" applyAlignment="1">
      <alignment horizontal="center"/>
    </xf>
    <xf numFmtId="0" fontId="0" fillId="36" borderId="11" xfId="0" applyFill="1" applyBorder="1" applyAlignment="1" applyProtection="1">
      <alignment/>
      <protection locked="0"/>
    </xf>
    <xf numFmtId="0" fontId="0" fillId="36" borderId="11" xfId="0" applyFill="1" applyBorder="1" applyAlignment="1">
      <alignment/>
    </xf>
    <xf numFmtId="4" fontId="0" fillId="36" borderId="11" xfId="0" applyNumberFormat="1" applyFill="1" applyBorder="1" applyAlignment="1">
      <alignment/>
    </xf>
    <xf numFmtId="0" fontId="13" fillId="34" borderId="11" xfId="0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0" fontId="13" fillId="0" borderId="11" xfId="0" applyFont="1" applyFill="1" applyBorder="1" applyAlignment="1" applyProtection="1">
      <alignment/>
      <protection locked="0"/>
    </xf>
    <xf numFmtId="0" fontId="13" fillId="34" borderId="0" xfId="0" applyFont="1" applyFill="1" applyAlignment="1">
      <alignment/>
    </xf>
    <xf numFmtId="0" fontId="15" fillId="34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vertical="top" wrapText="1"/>
    </xf>
    <xf numFmtId="0" fontId="14" fillId="36" borderId="11" xfId="0" applyFont="1" applyFill="1" applyBorder="1" applyAlignment="1">
      <alignment/>
    </xf>
    <xf numFmtId="4" fontId="14" fillId="36" borderId="11" xfId="0" applyNumberFormat="1" applyFont="1" applyFill="1" applyBorder="1" applyAlignment="1">
      <alignment/>
    </xf>
    <xf numFmtId="0" fontId="14" fillId="36" borderId="0" xfId="0" applyFont="1" applyFill="1" applyAlignment="1">
      <alignment/>
    </xf>
    <xf numFmtId="0" fontId="1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5" fillId="34" borderId="11" xfId="0" applyFont="1" applyFill="1" applyBorder="1" applyAlignment="1">
      <alignment wrapText="1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5" fillId="34" borderId="11" xfId="0" applyFont="1" applyFill="1" applyBorder="1" applyAlignment="1">
      <alignment horizontal="left" vertical="top" wrapText="1"/>
    </xf>
    <xf numFmtId="0" fontId="17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4" fontId="18" fillId="38" borderId="11" xfId="0" applyNumberFormat="1" applyFont="1" applyFill="1" applyBorder="1" applyAlignment="1">
      <alignment/>
    </xf>
    <xf numFmtId="0" fontId="19" fillId="39" borderId="0" xfId="0" applyFont="1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1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9" fillId="39" borderId="11" xfId="0" applyFont="1" applyFill="1" applyBorder="1" applyAlignment="1">
      <alignment/>
    </xf>
    <xf numFmtId="4" fontId="18" fillId="39" borderId="11" xfId="0" applyNumberFormat="1" applyFont="1" applyFill="1" applyBorder="1" applyAlignment="1">
      <alignment/>
    </xf>
    <xf numFmtId="2" fontId="19" fillId="39" borderId="0" xfId="0" applyNumberFormat="1" applyFont="1" applyFill="1" applyAlignment="1">
      <alignment/>
    </xf>
    <xf numFmtId="4" fontId="19" fillId="34" borderId="0" xfId="0" applyNumberFormat="1" applyFont="1" applyFill="1" applyBorder="1" applyAlignment="1">
      <alignment/>
    </xf>
    <xf numFmtId="2" fontId="19" fillId="34" borderId="0" xfId="0" applyNumberFormat="1" applyFont="1" applyFill="1" applyAlignment="1">
      <alignment/>
    </xf>
    <xf numFmtId="4" fontId="19" fillId="34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0" fontId="20" fillId="40" borderId="11" xfId="0" applyFont="1" applyFill="1" applyBorder="1" applyAlignment="1">
      <alignment/>
    </xf>
    <xf numFmtId="4" fontId="20" fillId="40" borderId="11" xfId="0" applyNumberFormat="1" applyFont="1" applyFill="1" applyBorder="1" applyAlignment="1">
      <alignment/>
    </xf>
    <xf numFmtId="0" fontId="17" fillId="40" borderId="11" xfId="0" applyFont="1" applyFill="1" applyBorder="1" applyAlignment="1">
      <alignment/>
    </xf>
    <xf numFmtId="4" fontId="21" fillId="40" borderId="11" xfId="0" applyNumberFormat="1" applyFont="1" applyFill="1" applyBorder="1" applyAlignment="1">
      <alignment/>
    </xf>
    <xf numFmtId="4" fontId="20" fillId="40" borderId="0" xfId="0" applyNumberFormat="1" applyFont="1" applyFill="1" applyAlignment="1">
      <alignment/>
    </xf>
    <xf numFmtId="0" fontId="20" fillId="4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9" fontId="0" fillId="34" borderId="11" xfId="0" applyNumberForma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wrapText="1"/>
    </xf>
    <xf numFmtId="2" fontId="22" fillId="0" borderId="11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9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4" fontId="19" fillId="39" borderId="0" xfId="0" applyNumberFormat="1" applyFont="1" applyFill="1" applyAlignment="1">
      <alignment/>
    </xf>
    <xf numFmtId="0" fontId="6" fillId="41" borderId="11" xfId="0" applyFont="1" applyFill="1" applyBorder="1" applyAlignment="1">
      <alignment textRotation="90"/>
    </xf>
    <xf numFmtId="0" fontId="6" fillId="41" borderId="11" xfId="0" applyFont="1" applyFill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6" fillId="42" borderId="11" xfId="0" applyFont="1" applyFill="1" applyBorder="1" applyAlignment="1">
      <alignment/>
    </xf>
    <xf numFmtId="0" fontId="6" fillId="41" borderId="11" xfId="0" applyFont="1" applyFill="1" applyBorder="1" applyAlignment="1">
      <alignment/>
    </xf>
    <xf numFmtId="4" fontId="13" fillId="34" borderId="0" xfId="0" applyNumberFormat="1" applyFont="1" applyFill="1" applyAlignment="1">
      <alignment/>
    </xf>
    <xf numFmtId="4" fontId="14" fillId="36" borderId="0" xfId="0" applyNumberFormat="1" applyFont="1" applyFill="1" applyAlignment="1">
      <alignment/>
    </xf>
    <xf numFmtId="0" fontId="15" fillId="0" borderId="23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 textRotation="90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43;&#1083;&#1072;&#1074;&#1073;&#1091;&#1093;\&#1056;&#1072;&#1073;&#1086;&#1095;&#1080;&#1081;%20&#1089;&#1090;&#1086;&#1083;\&#1084;&#1091;&#1085;.&#1079;&#1072;&#1076;&#1072;&#1085;&#1080;&#1077;\&#1052;&#1047;%20&#1079;&#1072;%202012%20&#1075;&#1086;&#1076;\&#1075;&#1080;&#1084;&#1085;13%20&#1088;&#1072;&#1089;&#1095;&#1077;&#1090;%20&#1085;&#1086;&#1088;&#1084;&#1072;&#1090;&#1080;&#1074;&#1072;%20&#1075;&#1086;&#1076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мест."/>
      <sheetName val="прил.1 (суб.)"/>
      <sheetName val="прил.2 (мест.)"/>
      <sheetName val="прил.2 (суб.) "/>
      <sheetName val="прил.3"/>
      <sheetName val="прил.4"/>
      <sheetName val="прил.5"/>
      <sheetName val="прил.6"/>
      <sheetName val="норматив"/>
      <sheetName val="проверка"/>
    </sheetNames>
    <sheetDataSet>
      <sheetData sheetId="8">
        <row r="17">
          <cell r="F17">
            <v>1225695.94</v>
          </cell>
        </row>
        <row r="19">
          <cell r="F19">
            <v>370160.18</v>
          </cell>
        </row>
        <row r="20">
          <cell r="F20">
            <v>107900</v>
          </cell>
        </row>
        <row r="22">
          <cell r="F22">
            <v>1703756.1199999999</v>
          </cell>
        </row>
        <row r="24">
          <cell r="F24">
            <v>8491457.26</v>
          </cell>
        </row>
        <row r="26">
          <cell r="F26">
            <v>2340047.6</v>
          </cell>
        </row>
        <row r="29">
          <cell r="F29">
            <v>11112926.86</v>
          </cell>
        </row>
        <row r="35">
          <cell r="F35">
            <v>4647.15</v>
          </cell>
        </row>
        <row r="38">
          <cell r="F38">
            <v>4531301.08</v>
          </cell>
        </row>
        <row r="40">
          <cell r="F40">
            <v>1347472.06</v>
          </cell>
        </row>
        <row r="42">
          <cell r="F42">
            <v>5878773.140000001</v>
          </cell>
        </row>
        <row r="44">
          <cell r="F44">
            <v>6728932.77</v>
          </cell>
        </row>
        <row r="46">
          <cell r="F46">
            <v>2051734.33</v>
          </cell>
        </row>
        <row r="48">
          <cell r="F48">
            <v>8785314.25</v>
          </cell>
        </row>
        <row r="50">
          <cell r="F50">
            <v>102589.20999999999</v>
          </cell>
        </row>
        <row r="51">
          <cell r="F51">
            <v>2935.8</v>
          </cell>
        </row>
        <row r="52">
          <cell r="F52">
            <v>6600</v>
          </cell>
        </row>
        <row r="53">
          <cell r="F53">
            <v>52608</v>
          </cell>
        </row>
        <row r="54">
          <cell r="F54">
            <v>12025.86</v>
          </cell>
        </row>
        <row r="55">
          <cell r="F55">
            <v>820</v>
          </cell>
        </row>
        <row r="56">
          <cell r="F56">
            <v>8400</v>
          </cell>
        </row>
        <row r="57">
          <cell r="F57">
            <v>7337.47</v>
          </cell>
        </row>
        <row r="58">
          <cell r="F58">
            <v>28894.95</v>
          </cell>
        </row>
        <row r="87">
          <cell r="F87">
            <v>16010.9</v>
          </cell>
        </row>
        <row r="89">
          <cell r="F89">
            <v>2000</v>
          </cell>
        </row>
        <row r="90">
          <cell r="F90">
            <v>19320</v>
          </cell>
        </row>
        <row r="91">
          <cell r="F91">
            <v>3672.44</v>
          </cell>
        </row>
        <row r="112">
          <cell r="F112">
            <v>52321.729999999996</v>
          </cell>
        </row>
        <row r="113">
          <cell r="F113">
            <v>42432.53</v>
          </cell>
        </row>
        <row r="114">
          <cell r="F114">
            <v>49434.7</v>
          </cell>
        </row>
        <row r="115">
          <cell r="F115">
            <v>505375.48</v>
          </cell>
        </row>
        <row r="116">
          <cell r="F116">
            <v>764194.88</v>
          </cell>
        </row>
        <row r="118">
          <cell r="F118">
            <v>1413759.3199999998</v>
          </cell>
        </row>
        <row r="121">
          <cell r="F121">
            <v>420785</v>
          </cell>
        </row>
        <row r="122">
          <cell r="F122">
            <v>910684</v>
          </cell>
        </row>
        <row r="126">
          <cell r="F126">
            <v>505375.58</v>
          </cell>
        </row>
        <row r="127">
          <cell r="F127">
            <v>84911.09999999999</v>
          </cell>
        </row>
        <row r="131">
          <cell r="F131">
            <v>1921755.6800000002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6"/>
  <sheetViews>
    <sheetView tabSelected="1" view="pageBreakPreview" zoomScale="75" zoomScaleSheetLayoutView="75" zoomScalePageLayoutView="0" workbookViewId="0" topLeftCell="A93">
      <selection activeCell="R146" sqref="R146"/>
    </sheetView>
  </sheetViews>
  <sheetFormatPr defaultColWidth="9.140625" defaultRowHeight="15"/>
  <cols>
    <col min="1" max="1" width="49.7109375" style="1" customWidth="1"/>
    <col min="2" max="2" width="10.00390625" style="1" customWidth="1"/>
    <col min="3" max="3" width="36.421875" style="1" customWidth="1"/>
    <col min="4" max="4" width="6.7109375" style="1" customWidth="1"/>
    <col min="5" max="5" width="4.7109375" style="1" customWidth="1"/>
    <col min="6" max="6" width="5.7109375" style="1" customWidth="1"/>
    <col min="7" max="7" width="6.8515625" style="1" customWidth="1"/>
    <col min="8" max="9" width="5.8515625" style="1" customWidth="1"/>
    <col min="10" max="10" width="6.140625" style="1" customWidth="1"/>
    <col min="11" max="11" width="16.00390625" style="1" customWidth="1"/>
    <col min="12" max="12" width="6.7109375" style="1" customWidth="1"/>
    <col min="13" max="13" width="10.421875" style="1" customWidth="1"/>
    <col min="14" max="14" width="6.421875" style="1" customWidth="1"/>
    <col min="15" max="15" width="6.00390625" style="1" customWidth="1"/>
    <col min="16" max="16" width="9.140625" style="1" customWidth="1"/>
    <col min="17" max="17" width="12.8515625" style="1" customWidth="1"/>
    <col min="18" max="18" width="17.57421875" style="1" customWidth="1"/>
    <col min="19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5" hidden="1"/>
    <row r="12" spans="1:18" ht="15" customHeight="1">
      <c r="A12" s="204" t="s">
        <v>10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</row>
    <row r="13" spans="1:18" ht="15">
      <c r="A13" s="205" t="s">
        <v>11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18" ht="15">
      <c r="A14" s="205" t="s">
        <v>12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</row>
    <row r="17" spans="2:23" ht="15">
      <c r="B17" s="1" t="s">
        <v>13</v>
      </c>
      <c r="I17" s="3"/>
      <c r="J17" s="3"/>
      <c r="K17" s="3"/>
      <c r="L17" s="3"/>
      <c r="M17" s="3"/>
      <c r="N17" s="3"/>
      <c r="O17" s="3"/>
      <c r="S17" s="4"/>
      <c r="T17" s="4"/>
      <c r="U17" s="4"/>
      <c r="V17" s="4"/>
      <c r="W17" s="4"/>
    </row>
    <row r="19" ht="15">
      <c r="B19" s="1" t="s">
        <v>14</v>
      </c>
    </row>
    <row r="21" spans="1:18" ht="93" customHeight="1">
      <c r="A21" s="5" t="s">
        <v>15</v>
      </c>
      <c r="B21" s="5" t="s">
        <v>16</v>
      </c>
      <c r="C21" s="5" t="s">
        <v>17</v>
      </c>
      <c r="D21" s="202" t="s">
        <v>18</v>
      </c>
      <c r="E21" s="202"/>
      <c r="F21" s="202" t="s">
        <v>19</v>
      </c>
      <c r="G21" s="202"/>
      <c r="H21" s="202" t="s">
        <v>20</v>
      </c>
      <c r="I21" s="202"/>
      <c r="J21" s="202" t="s">
        <v>21</v>
      </c>
      <c r="K21" s="202"/>
      <c r="L21" s="202" t="s">
        <v>22</v>
      </c>
      <c r="M21" s="202"/>
      <c r="N21" s="202" t="s">
        <v>23</v>
      </c>
      <c r="O21" s="202"/>
      <c r="P21" s="5" t="s">
        <v>24</v>
      </c>
      <c r="Q21" s="202" t="s">
        <v>25</v>
      </c>
      <c r="R21" s="202"/>
    </row>
    <row r="22" spans="1:18" s="6" customFormat="1" ht="222" customHeight="1">
      <c r="A22" s="207">
        <v>1</v>
      </c>
      <c r="B22" s="207" t="s">
        <v>26</v>
      </c>
      <c r="C22" s="203" t="s">
        <v>27</v>
      </c>
      <c r="D22" s="207" t="s">
        <v>28</v>
      </c>
      <c r="E22" s="207"/>
      <c r="F22" s="203" t="s">
        <v>29</v>
      </c>
      <c r="G22" s="203"/>
      <c r="H22" s="203" t="s">
        <v>30</v>
      </c>
      <c r="I22" s="203"/>
      <c r="J22" s="203" t="s">
        <v>31</v>
      </c>
      <c r="K22" s="203"/>
      <c r="L22" s="207" t="s">
        <v>32</v>
      </c>
      <c r="M22" s="207"/>
      <c r="N22" s="207" t="s">
        <v>33</v>
      </c>
      <c r="O22" s="207"/>
      <c r="P22" s="203" t="s">
        <v>34</v>
      </c>
      <c r="Q22" s="203" t="s">
        <v>35</v>
      </c>
      <c r="R22" s="203"/>
    </row>
    <row r="23" spans="1:18" s="6" customFormat="1" ht="6.75" customHeight="1">
      <c r="A23" s="207"/>
      <c r="B23" s="207"/>
      <c r="C23" s="203"/>
      <c r="D23" s="207"/>
      <c r="E23" s="207"/>
      <c r="F23" s="203"/>
      <c r="G23" s="203"/>
      <c r="H23" s="203"/>
      <c r="I23" s="203"/>
      <c r="J23" s="203"/>
      <c r="K23" s="203"/>
      <c r="L23" s="207"/>
      <c r="M23" s="207"/>
      <c r="N23" s="207"/>
      <c r="O23" s="207"/>
      <c r="P23" s="203"/>
      <c r="Q23" s="203"/>
      <c r="R23" s="203"/>
    </row>
    <row r="24" spans="1:18" s="6" customFormat="1" ht="11.25" customHeight="1">
      <c r="A24" s="207"/>
      <c r="B24" s="207"/>
      <c r="C24" s="203"/>
      <c r="D24" s="207"/>
      <c r="E24" s="207"/>
      <c r="F24" s="203"/>
      <c r="G24" s="203"/>
      <c r="H24" s="203"/>
      <c r="I24" s="203"/>
      <c r="J24" s="203"/>
      <c r="K24" s="203"/>
      <c r="L24" s="207"/>
      <c r="M24" s="207"/>
      <c r="N24" s="207"/>
      <c r="O24" s="207"/>
      <c r="P24" s="203"/>
      <c r="Q24" s="203"/>
      <c r="R24" s="203"/>
    </row>
    <row r="25" spans="1:18" s="6" customFormat="1" ht="12.75" customHeight="1" hidden="1">
      <c r="A25" s="207"/>
      <c r="B25" s="207"/>
      <c r="C25" s="203"/>
      <c r="D25" s="207"/>
      <c r="E25" s="207"/>
      <c r="F25" s="203"/>
      <c r="G25" s="203"/>
      <c r="H25" s="203"/>
      <c r="I25" s="203"/>
      <c r="J25" s="203"/>
      <c r="K25" s="203"/>
      <c r="L25" s="207"/>
      <c r="M25" s="207"/>
      <c r="N25" s="207"/>
      <c r="O25" s="207"/>
      <c r="P25" s="203"/>
      <c r="Q25" s="203"/>
      <c r="R25" s="203"/>
    </row>
    <row r="26" spans="1:18" s="6" customFormat="1" ht="12.75" customHeight="1" hidden="1">
      <c r="A26" s="207"/>
      <c r="B26" s="207"/>
      <c r="C26" s="203"/>
      <c r="D26" s="207"/>
      <c r="E26" s="207"/>
      <c r="F26" s="203"/>
      <c r="G26" s="203"/>
      <c r="H26" s="203"/>
      <c r="I26" s="203"/>
      <c r="J26" s="203"/>
      <c r="K26" s="203"/>
      <c r="L26" s="207"/>
      <c r="M26" s="207"/>
      <c r="N26" s="207"/>
      <c r="O26" s="207"/>
      <c r="P26" s="203"/>
      <c r="Q26" s="203"/>
      <c r="R26" s="203"/>
    </row>
    <row r="27" spans="1:18" s="6" customFormat="1" ht="247.5" customHeight="1">
      <c r="A27" s="207"/>
      <c r="B27" s="207"/>
      <c r="C27" s="203"/>
      <c r="D27" s="207"/>
      <c r="E27" s="207"/>
      <c r="F27" s="203"/>
      <c r="G27" s="203"/>
      <c r="H27" s="203"/>
      <c r="I27" s="203"/>
      <c r="J27" s="203"/>
      <c r="K27" s="203"/>
      <c r="L27" s="207"/>
      <c r="M27" s="207"/>
      <c r="N27" s="207"/>
      <c r="O27" s="207"/>
      <c r="P27" s="203"/>
      <c r="Q27" s="203"/>
      <c r="R27" s="203"/>
    </row>
    <row r="28" spans="1:18" s="6" customFormat="1" ht="12.75" customHeight="1" hidden="1">
      <c r="A28" s="207"/>
      <c r="B28" s="207"/>
      <c r="C28" s="203"/>
      <c r="D28" s="207"/>
      <c r="E28" s="207"/>
      <c r="F28" s="203"/>
      <c r="G28" s="203"/>
      <c r="H28" s="203"/>
      <c r="I28" s="203"/>
      <c r="J28" s="203"/>
      <c r="K28" s="203"/>
      <c r="L28" s="207"/>
      <c r="M28" s="207"/>
      <c r="N28" s="207"/>
      <c r="O28" s="207"/>
      <c r="P28" s="203"/>
      <c r="Q28" s="203"/>
      <c r="R28" s="203"/>
    </row>
    <row r="29" spans="1:18" s="6" customFormat="1" ht="12.75" customHeight="1" hidden="1">
      <c r="A29" s="207"/>
      <c r="B29" s="207"/>
      <c r="C29" s="203"/>
      <c r="D29" s="207"/>
      <c r="E29" s="207"/>
      <c r="F29" s="203"/>
      <c r="G29" s="203"/>
      <c r="H29" s="203"/>
      <c r="I29" s="203"/>
      <c r="J29" s="203"/>
      <c r="K29" s="203"/>
      <c r="L29" s="207"/>
      <c r="M29" s="207"/>
      <c r="N29" s="207"/>
      <c r="O29" s="207"/>
      <c r="P29" s="203"/>
      <c r="Q29" s="203"/>
      <c r="R29" s="203"/>
    </row>
    <row r="30" spans="1:18" s="6" customFormat="1" ht="12.75" customHeight="1" hidden="1">
      <c r="A30" s="207"/>
      <c r="B30" s="207"/>
      <c r="C30" s="203"/>
      <c r="D30" s="207"/>
      <c r="E30" s="207"/>
      <c r="F30" s="203"/>
      <c r="G30" s="203"/>
      <c r="H30" s="203"/>
      <c r="I30" s="203"/>
      <c r="J30" s="203"/>
      <c r="K30" s="203"/>
      <c r="L30" s="207"/>
      <c r="M30" s="207"/>
      <c r="N30" s="207"/>
      <c r="O30" s="207"/>
      <c r="P30" s="203"/>
      <c r="Q30" s="203"/>
      <c r="R30" s="203"/>
    </row>
    <row r="31" spans="1:18" s="6" customFormat="1" ht="12.75" customHeight="1" hidden="1">
      <c r="A31" s="207"/>
      <c r="B31" s="207"/>
      <c r="C31" s="203"/>
      <c r="D31" s="207"/>
      <c r="E31" s="207"/>
      <c r="F31" s="203"/>
      <c r="G31" s="203"/>
      <c r="H31" s="203"/>
      <c r="I31" s="203"/>
      <c r="J31" s="203"/>
      <c r="K31" s="203"/>
      <c r="L31" s="207"/>
      <c r="M31" s="207"/>
      <c r="N31" s="207"/>
      <c r="O31" s="207"/>
      <c r="P31" s="203"/>
      <c r="Q31" s="203"/>
      <c r="R31" s="203"/>
    </row>
    <row r="32" spans="1:18" s="6" customFormat="1" ht="2.25" customHeight="1">
      <c r="A32" s="207"/>
      <c r="B32" s="207"/>
      <c r="C32" s="203"/>
      <c r="D32" s="207"/>
      <c r="E32" s="207"/>
      <c r="F32" s="203"/>
      <c r="G32" s="203"/>
      <c r="H32" s="203"/>
      <c r="I32" s="203"/>
      <c r="J32" s="203"/>
      <c r="K32" s="203"/>
      <c r="L32" s="207"/>
      <c r="M32" s="207"/>
      <c r="N32" s="207"/>
      <c r="O32" s="207"/>
      <c r="P32" s="203"/>
      <c r="Q32" s="203"/>
      <c r="R32" s="203"/>
    </row>
    <row r="35" ht="15">
      <c r="B35" s="1" t="s">
        <v>36</v>
      </c>
    </row>
    <row r="37" spans="1:18" ht="15" customHeight="1">
      <c r="A37" s="202" t="s">
        <v>16</v>
      </c>
      <c r="B37" s="202"/>
      <c r="C37" s="202" t="s">
        <v>37</v>
      </c>
      <c r="D37" s="206" t="s">
        <v>38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28.5" customHeight="1">
      <c r="A38" s="202"/>
      <c r="B38" s="202"/>
      <c r="C38" s="202"/>
      <c r="D38" s="206" t="s">
        <v>39</v>
      </c>
      <c r="E38" s="206"/>
      <c r="F38" s="206"/>
      <c r="G38" s="206"/>
      <c r="H38" s="206"/>
      <c r="I38" s="206"/>
      <c r="J38" s="206" t="s">
        <v>40</v>
      </c>
      <c r="K38" s="206"/>
      <c r="L38" s="206"/>
      <c r="M38" s="206"/>
      <c r="N38" s="206"/>
      <c r="O38" s="206"/>
      <c r="P38" s="206" t="s">
        <v>41</v>
      </c>
      <c r="Q38" s="206"/>
      <c r="R38" s="206"/>
    </row>
    <row r="39" spans="1:19" ht="83.25" customHeight="1">
      <c r="A39" s="202"/>
      <c r="B39" s="202"/>
      <c r="C39" s="202"/>
      <c r="D39" s="202" t="s">
        <v>42</v>
      </c>
      <c r="E39" s="202"/>
      <c r="F39" s="202" t="s">
        <v>43</v>
      </c>
      <c r="G39" s="202"/>
      <c r="H39" s="202" t="s">
        <v>44</v>
      </c>
      <c r="I39" s="202"/>
      <c r="J39" s="202" t="s">
        <v>42</v>
      </c>
      <c r="K39" s="202"/>
      <c r="L39" s="202" t="s">
        <v>43</v>
      </c>
      <c r="M39" s="202"/>
      <c r="N39" s="202" t="s">
        <v>44</v>
      </c>
      <c r="O39" s="202"/>
      <c r="P39" s="8" t="s">
        <v>42</v>
      </c>
      <c r="Q39" s="8" t="s">
        <v>43</v>
      </c>
      <c r="R39" s="8" t="s">
        <v>44</v>
      </c>
      <c r="S39" s="9"/>
    </row>
    <row r="40" spans="1:18" s="10" customFormat="1" ht="129.75" customHeight="1">
      <c r="A40" s="211" t="s">
        <v>26</v>
      </c>
      <c r="B40" s="211"/>
      <c r="C40" s="203" t="s">
        <v>45</v>
      </c>
      <c r="D40" s="207" t="s">
        <v>46</v>
      </c>
      <c r="E40" s="207"/>
      <c r="F40" s="207" t="s">
        <v>47</v>
      </c>
      <c r="G40" s="207"/>
      <c r="H40" s="208"/>
      <c r="I40" s="208"/>
      <c r="J40" s="208"/>
      <c r="K40" s="208"/>
      <c r="L40" s="208"/>
      <c r="M40" s="208"/>
      <c r="N40" s="208"/>
      <c r="O40" s="208"/>
      <c r="P40" s="209" t="s">
        <v>48</v>
      </c>
      <c r="Q40" s="209" t="s">
        <v>49</v>
      </c>
      <c r="R40" s="210"/>
    </row>
    <row r="41" spans="1:18" s="10" customFormat="1" ht="10.5" customHeight="1">
      <c r="A41" s="211"/>
      <c r="B41" s="211"/>
      <c r="C41" s="203"/>
      <c r="D41" s="207"/>
      <c r="E41" s="207"/>
      <c r="F41" s="207"/>
      <c r="G41" s="207"/>
      <c r="H41" s="208"/>
      <c r="I41" s="208"/>
      <c r="J41" s="208"/>
      <c r="K41" s="208"/>
      <c r="L41" s="208"/>
      <c r="M41" s="208"/>
      <c r="N41" s="208"/>
      <c r="O41" s="208"/>
      <c r="P41" s="209"/>
      <c r="Q41" s="209"/>
      <c r="R41" s="210"/>
    </row>
    <row r="42" spans="1:18" s="10" customFormat="1" ht="10.5" customHeight="1">
      <c r="A42" s="211"/>
      <c r="B42" s="211"/>
      <c r="C42" s="203"/>
      <c r="D42" s="207"/>
      <c r="E42" s="207"/>
      <c r="F42" s="207"/>
      <c r="G42" s="207"/>
      <c r="H42" s="208"/>
      <c r="I42" s="208"/>
      <c r="J42" s="208"/>
      <c r="K42" s="208"/>
      <c r="L42" s="208"/>
      <c r="M42" s="208"/>
      <c r="N42" s="208"/>
      <c r="O42" s="208"/>
      <c r="P42" s="209"/>
      <c r="Q42" s="209"/>
      <c r="R42" s="210"/>
    </row>
    <row r="43" spans="1:18" s="10" customFormat="1" ht="10.5" customHeight="1">
      <c r="A43" s="211"/>
      <c r="B43" s="211"/>
      <c r="C43" s="203"/>
      <c r="D43" s="207"/>
      <c r="E43" s="207"/>
      <c r="F43" s="207"/>
      <c r="G43" s="207"/>
      <c r="H43" s="208"/>
      <c r="I43" s="208"/>
      <c r="J43" s="208"/>
      <c r="K43" s="208"/>
      <c r="L43" s="208"/>
      <c r="M43" s="208"/>
      <c r="N43" s="208"/>
      <c r="O43" s="208"/>
      <c r="P43" s="209"/>
      <c r="Q43" s="209"/>
      <c r="R43" s="210"/>
    </row>
    <row r="44" spans="1:18" s="10" customFormat="1" ht="27.75" customHeight="1">
      <c r="A44" s="211"/>
      <c r="B44" s="211"/>
      <c r="C44" s="203"/>
      <c r="D44" s="207"/>
      <c r="E44" s="207"/>
      <c r="F44" s="207"/>
      <c r="G44" s="207"/>
      <c r="H44" s="208"/>
      <c r="I44" s="208"/>
      <c r="J44" s="208"/>
      <c r="K44" s="208"/>
      <c r="L44" s="208"/>
      <c r="M44" s="208"/>
      <c r="N44" s="208"/>
      <c r="O44" s="208"/>
      <c r="P44" s="209"/>
      <c r="Q44" s="209"/>
      <c r="R44" s="210"/>
    </row>
    <row r="45" spans="1:18" s="10" customFormat="1" ht="12.75" customHeight="1" hidden="1">
      <c r="A45" s="211"/>
      <c r="B45" s="211"/>
      <c r="C45" s="203"/>
      <c r="D45" s="207"/>
      <c r="E45" s="207"/>
      <c r="F45" s="207"/>
      <c r="G45" s="207"/>
      <c r="H45" s="208"/>
      <c r="I45" s="208"/>
      <c r="J45" s="208"/>
      <c r="K45" s="208"/>
      <c r="L45" s="208"/>
      <c r="M45" s="208"/>
      <c r="N45" s="208"/>
      <c r="O45" s="208"/>
      <c r="P45" s="209"/>
      <c r="Q45" s="209"/>
      <c r="R45" s="210"/>
    </row>
    <row r="46" spans="1:18" s="10" customFormat="1" ht="12.75" customHeight="1" hidden="1">
      <c r="A46" s="211"/>
      <c r="B46" s="211"/>
      <c r="C46" s="203"/>
      <c r="D46" s="207"/>
      <c r="E46" s="207"/>
      <c r="F46" s="207"/>
      <c r="G46" s="207"/>
      <c r="H46" s="208"/>
      <c r="I46" s="208"/>
      <c r="J46" s="208"/>
      <c r="K46" s="208"/>
      <c r="L46" s="208"/>
      <c r="M46" s="208"/>
      <c r="N46" s="208"/>
      <c r="O46" s="208"/>
      <c r="P46" s="209"/>
      <c r="Q46" s="209"/>
      <c r="R46" s="210"/>
    </row>
    <row r="47" spans="1:18" s="10" customFormat="1" ht="12.75" customHeight="1" hidden="1">
      <c r="A47" s="211"/>
      <c r="B47" s="211"/>
      <c r="C47" s="203"/>
      <c r="D47" s="207"/>
      <c r="E47" s="207"/>
      <c r="F47" s="207"/>
      <c r="G47" s="207"/>
      <c r="H47" s="208"/>
      <c r="I47" s="208"/>
      <c r="J47" s="208"/>
      <c r="K47" s="208"/>
      <c r="L47" s="208"/>
      <c r="M47" s="208"/>
      <c r="N47" s="208"/>
      <c r="O47" s="208"/>
      <c r="P47" s="209"/>
      <c r="Q47" s="209"/>
      <c r="R47" s="210"/>
    </row>
    <row r="48" spans="1:18" s="10" customFormat="1" ht="12.75" customHeight="1" hidden="1">
      <c r="A48" s="211"/>
      <c r="B48" s="211"/>
      <c r="C48" s="203"/>
      <c r="D48" s="207"/>
      <c r="E48" s="207"/>
      <c r="F48" s="207"/>
      <c r="G48" s="207"/>
      <c r="H48" s="208"/>
      <c r="I48" s="208"/>
      <c r="J48" s="208"/>
      <c r="K48" s="208"/>
      <c r="L48" s="208"/>
      <c r="M48" s="208"/>
      <c r="N48" s="208"/>
      <c r="O48" s="208"/>
      <c r="P48" s="209"/>
      <c r="Q48" s="209"/>
      <c r="R48" s="210"/>
    </row>
    <row r="49" spans="1:18" s="10" customFormat="1" ht="12.75" customHeight="1" hidden="1">
      <c r="A49" s="211"/>
      <c r="B49" s="211"/>
      <c r="C49" s="203"/>
      <c r="D49" s="207"/>
      <c r="E49" s="207"/>
      <c r="F49" s="207"/>
      <c r="G49" s="207"/>
      <c r="H49" s="208"/>
      <c r="I49" s="208"/>
      <c r="J49" s="208"/>
      <c r="K49" s="208"/>
      <c r="L49" s="208"/>
      <c r="M49" s="208"/>
      <c r="N49" s="208"/>
      <c r="O49" s="208"/>
      <c r="P49" s="209"/>
      <c r="Q49" s="209"/>
      <c r="R49" s="210"/>
    </row>
    <row r="50" spans="1:18" s="10" customFormat="1" ht="12.75" customHeight="1" hidden="1">
      <c r="A50" s="211"/>
      <c r="B50" s="211"/>
      <c r="C50" s="203"/>
      <c r="D50" s="207"/>
      <c r="E50" s="207"/>
      <c r="F50" s="207"/>
      <c r="G50" s="207"/>
      <c r="H50" s="208"/>
      <c r="I50" s="208"/>
      <c r="J50" s="208"/>
      <c r="K50" s="208"/>
      <c r="L50" s="208"/>
      <c r="M50" s="208"/>
      <c r="N50" s="208"/>
      <c r="O50" s="208"/>
      <c r="P50" s="209"/>
      <c r="Q50" s="209"/>
      <c r="R50" s="210"/>
    </row>
    <row r="51" spans="1:18" s="10" customFormat="1" ht="12.75" customHeight="1" hidden="1">
      <c r="A51" s="211"/>
      <c r="B51" s="211"/>
      <c r="C51" s="203"/>
      <c r="D51" s="207"/>
      <c r="E51" s="207"/>
      <c r="F51" s="207"/>
      <c r="G51" s="207"/>
      <c r="H51" s="208"/>
      <c r="I51" s="208"/>
      <c r="J51" s="208"/>
      <c r="K51" s="208"/>
      <c r="L51" s="208"/>
      <c r="M51" s="208"/>
      <c r="N51" s="208"/>
      <c r="O51" s="208"/>
      <c r="P51" s="209"/>
      <c r="Q51" s="209"/>
      <c r="R51" s="210"/>
    </row>
    <row r="52" spans="1:18" s="10" customFormat="1" ht="12.75" customHeight="1" hidden="1">
      <c r="A52" s="211"/>
      <c r="B52" s="211"/>
      <c r="C52" s="203"/>
      <c r="D52" s="207"/>
      <c r="E52" s="207"/>
      <c r="F52" s="207"/>
      <c r="G52" s="207"/>
      <c r="H52" s="208"/>
      <c r="I52" s="208"/>
      <c r="J52" s="208"/>
      <c r="K52" s="208"/>
      <c r="L52" s="208"/>
      <c r="M52" s="208"/>
      <c r="N52" s="208"/>
      <c r="O52" s="208"/>
      <c r="P52" s="209"/>
      <c r="Q52" s="209"/>
      <c r="R52" s="210"/>
    </row>
    <row r="53" spans="1:18" s="10" customFormat="1" ht="12.75" customHeight="1" hidden="1">
      <c r="A53" s="211"/>
      <c r="B53" s="211"/>
      <c r="C53" s="203"/>
      <c r="D53" s="207"/>
      <c r="E53" s="207"/>
      <c r="F53" s="207"/>
      <c r="G53" s="207"/>
      <c r="H53" s="208"/>
      <c r="I53" s="208"/>
      <c r="J53" s="208"/>
      <c r="K53" s="208"/>
      <c r="L53" s="208"/>
      <c r="M53" s="208"/>
      <c r="N53" s="208"/>
      <c r="O53" s="208"/>
      <c r="P53" s="209"/>
      <c r="Q53" s="209"/>
      <c r="R53" s="210"/>
    </row>
    <row r="54" spans="1:18" s="10" customFormat="1" ht="12.75" customHeight="1" hidden="1">
      <c r="A54" s="211"/>
      <c r="B54" s="211"/>
      <c r="C54" s="203"/>
      <c r="D54" s="207"/>
      <c r="E54" s="207"/>
      <c r="F54" s="207"/>
      <c r="G54" s="207"/>
      <c r="H54" s="208"/>
      <c r="I54" s="208"/>
      <c r="J54" s="208"/>
      <c r="K54" s="208"/>
      <c r="L54" s="208"/>
      <c r="M54" s="208"/>
      <c r="N54" s="208"/>
      <c r="O54" s="208"/>
      <c r="P54" s="209"/>
      <c r="Q54" s="209"/>
      <c r="R54" s="210"/>
    </row>
    <row r="55" spans="1:18" s="10" customFormat="1" ht="12.75" customHeight="1" hidden="1">
      <c r="A55" s="211"/>
      <c r="B55" s="211"/>
      <c r="C55" s="203"/>
      <c r="D55" s="207"/>
      <c r="E55" s="207"/>
      <c r="F55" s="207"/>
      <c r="G55" s="207"/>
      <c r="H55" s="208"/>
      <c r="I55" s="208"/>
      <c r="J55" s="208"/>
      <c r="K55" s="208"/>
      <c r="L55" s="208"/>
      <c r="M55" s="208"/>
      <c r="N55" s="208"/>
      <c r="O55" s="208"/>
      <c r="P55" s="209"/>
      <c r="Q55" s="209"/>
      <c r="R55" s="210"/>
    </row>
    <row r="56" spans="1:18" s="10" customFormat="1" ht="12.75" customHeight="1" hidden="1">
      <c r="A56" s="211"/>
      <c r="B56" s="211"/>
      <c r="C56" s="203"/>
      <c r="D56" s="207"/>
      <c r="E56" s="207"/>
      <c r="F56" s="207"/>
      <c r="G56" s="207"/>
      <c r="H56" s="208"/>
      <c r="I56" s="208"/>
      <c r="J56" s="208"/>
      <c r="K56" s="208"/>
      <c r="L56" s="208"/>
      <c r="M56" s="208"/>
      <c r="N56" s="208"/>
      <c r="O56" s="208"/>
      <c r="P56" s="209"/>
      <c r="Q56" s="209"/>
      <c r="R56" s="210"/>
    </row>
    <row r="57" spans="1:18" s="10" customFormat="1" ht="12.75" customHeight="1" hidden="1">
      <c r="A57" s="211"/>
      <c r="B57" s="211"/>
      <c r="C57" s="203"/>
      <c r="D57" s="207"/>
      <c r="E57" s="207"/>
      <c r="F57" s="207"/>
      <c r="G57" s="207"/>
      <c r="H57" s="208"/>
      <c r="I57" s="208"/>
      <c r="J57" s="208"/>
      <c r="K57" s="208"/>
      <c r="L57" s="208"/>
      <c r="M57" s="208"/>
      <c r="N57" s="208"/>
      <c r="O57" s="208"/>
      <c r="P57" s="209"/>
      <c r="Q57" s="209"/>
      <c r="R57" s="210"/>
    </row>
    <row r="58" spans="1:18" s="10" customFormat="1" ht="12.75" customHeight="1" hidden="1">
      <c r="A58" s="211"/>
      <c r="B58" s="211"/>
      <c r="C58" s="203"/>
      <c r="D58" s="207"/>
      <c r="E58" s="207"/>
      <c r="F58" s="207"/>
      <c r="G58" s="207"/>
      <c r="H58" s="208"/>
      <c r="I58" s="208"/>
      <c r="J58" s="208"/>
      <c r="K58" s="208"/>
      <c r="L58" s="208"/>
      <c r="M58" s="208"/>
      <c r="N58" s="208"/>
      <c r="O58" s="208"/>
      <c r="P58" s="209"/>
      <c r="Q58" s="209"/>
      <c r="R58" s="210"/>
    </row>
    <row r="59" spans="1:18" s="10" customFormat="1" ht="12.75" customHeight="1" hidden="1">
      <c r="A59" s="211"/>
      <c r="B59" s="211"/>
      <c r="C59" s="203"/>
      <c r="D59" s="207"/>
      <c r="E59" s="207"/>
      <c r="F59" s="207"/>
      <c r="G59" s="207"/>
      <c r="H59" s="208"/>
      <c r="I59" s="208"/>
      <c r="J59" s="208"/>
      <c r="K59" s="208"/>
      <c r="L59" s="208"/>
      <c r="M59" s="208"/>
      <c r="N59" s="208"/>
      <c r="O59" s="208"/>
      <c r="P59" s="209"/>
      <c r="Q59" s="209"/>
      <c r="R59" s="210"/>
    </row>
    <row r="60" spans="1:18" s="10" customFormat="1" ht="12.75" customHeight="1" hidden="1">
      <c r="A60" s="211"/>
      <c r="B60" s="211"/>
      <c r="C60" s="203"/>
      <c r="D60" s="207"/>
      <c r="E60" s="207"/>
      <c r="F60" s="207"/>
      <c r="G60" s="207"/>
      <c r="H60" s="208"/>
      <c r="I60" s="208"/>
      <c r="J60" s="208"/>
      <c r="K60" s="208"/>
      <c r="L60" s="208"/>
      <c r="M60" s="208"/>
      <c r="N60" s="208"/>
      <c r="O60" s="208"/>
      <c r="P60" s="209"/>
      <c r="Q60" s="209"/>
      <c r="R60" s="210"/>
    </row>
    <row r="61" spans="1:18" s="10" customFormat="1" ht="45.75" customHeight="1">
      <c r="A61" s="211"/>
      <c r="B61" s="211"/>
      <c r="C61" s="203"/>
      <c r="D61" s="207"/>
      <c r="E61" s="207"/>
      <c r="F61" s="207"/>
      <c r="G61" s="207"/>
      <c r="H61" s="208"/>
      <c r="I61" s="208"/>
      <c r="J61" s="208"/>
      <c r="K61" s="208"/>
      <c r="L61" s="208"/>
      <c r="M61" s="208"/>
      <c r="N61" s="208"/>
      <c r="O61" s="208"/>
      <c r="P61" s="209"/>
      <c r="Q61" s="209"/>
      <c r="R61" s="210"/>
    </row>
    <row r="62" spans="9:11" ht="15">
      <c r="I62" s="4"/>
      <c r="J62" s="4"/>
      <c r="K62" s="4"/>
    </row>
    <row r="63" ht="15">
      <c r="B63" s="1" t="s">
        <v>50</v>
      </c>
    </row>
    <row r="65" spans="1:17" ht="28.5" customHeight="1">
      <c r="A65" s="206" t="s">
        <v>51</v>
      </c>
      <c r="B65" s="206"/>
      <c r="C65" s="206"/>
      <c r="D65" s="206" t="s">
        <v>52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 t="s">
        <v>53</v>
      </c>
      <c r="Q65" s="206"/>
    </row>
    <row r="66" spans="1:17" ht="15">
      <c r="A66" s="206"/>
      <c r="B66" s="206"/>
      <c r="C66" s="206"/>
      <c r="D66" s="11">
        <v>1</v>
      </c>
      <c r="E66" s="11">
        <v>2</v>
      </c>
      <c r="F66" s="11">
        <v>3</v>
      </c>
      <c r="G66" s="11">
        <v>4</v>
      </c>
      <c r="H66" s="11">
        <v>5</v>
      </c>
      <c r="I66" s="11">
        <v>6</v>
      </c>
      <c r="J66" s="11">
        <v>7</v>
      </c>
      <c r="K66" s="11">
        <v>8</v>
      </c>
      <c r="L66" s="11">
        <v>9</v>
      </c>
      <c r="M66" s="11">
        <v>10</v>
      </c>
      <c r="N66" s="11">
        <v>11</v>
      </c>
      <c r="O66" s="11">
        <v>12</v>
      </c>
      <c r="P66" s="206"/>
      <c r="Q66" s="206"/>
    </row>
    <row r="67" spans="1:17" ht="118.5" customHeight="1">
      <c r="A67" s="212" t="s">
        <v>54</v>
      </c>
      <c r="B67" s="212"/>
      <c r="C67" s="212"/>
      <c r="D67" s="194">
        <f>D68</f>
        <v>852</v>
      </c>
      <c r="E67" s="194">
        <f aca="true" t="shared" si="0" ref="E67:K67">E68</f>
        <v>852</v>
      </c>
      <c r="F67" s="194">
        <f t="shared" si="0"/>
        <v>852</v>
      </c>
      <c r="G67" s="194">
        <f t="shared" si="0"/>
        <v>852</v>
      </c>
      <c r="H67" s="194">
        <f t="shared" si="0"/>
        <v>852</v>
      </c>
      <c r="I67" s="194">
        <f t="shared" si="0"/>
        <v>852</v>
      </c>
      <c r="J67" s="194">
        <f t="shared" si="0"/>
        <v>852</v>
      </c>
      <c r="K67" s="194">
        <f t="shared" si="0"/>
        <v>852</v>
      </c>
      <c r="L67" s="194">
        <v>900</v>
      </c>
      <c r="M67" s="12">
        <v>900</v>
      </c>
      <c r="N67" s="12">
        <v>900</v>
      </c>
      <c r="O67" s="12">
        <v>900</v>
      </c>
      <c r="P67" s="213">
        <f>P68</f>
        <v>868</v>
      </c>
      <c r="Q67" s="213"/>
    </row>
    <row r="68" spans="1:17" ht="50.25" customHeight="1">
      <c r="A68" s="214" t="s">
        <v>55</v>
      </c>
      <c r="B68" s="214"/>
      <c r="C68" s="214"/>
      <c r="D68" s="196">
        <v>852</v>
      </c>
      <c r="E68" s="197">
        <f aca="true" t="shared" si="1" ref="E68:O70">D68</f>
        <v>852</v>
      </c>
      <c r="F68" s="197">
        <f t="shared" si="1"/>
        <v>852</v>
      </c>
      <c r="G68" s="197">
        <f t="shared" si="1"/>
        <v>852</v>
      </c>
      <c r="H68" s="197">
        <f t="shared" si="1"/>
        <v>852</v>
      </c>
      <c r="I68" s="197">
        <f t="shared" si="1"/>
        <v>852</v>
      </c>
      <c r="J68" s="197">
        <f t="shared" si="1"/>
        <v>852</v>
      </c>
      <c r="K68" s="197">
        <f t="shared" si="1"/>
        <v>852</v>
      </c>
      <c r="L68" s="197">
        <v>900</v>
      </c>
      <c r="M68" s="15">
        <v>900</v>
      </c>
      <c r="N68" s="15">
        <f t="shared" si="1"/>
        <v>900</v>
      </c>
      <c r="O68" s="15">
        <f t="shared" si="1"/>
        <v>900</v>
      </c>
      <c r="P68" s="213">
        <f>ROUND((D68*8+L68*4)/12,0)</f>
        <v>868</v>
      </c>
      <c r="Q68" s="213"/>
    </row>
    <row r="69" spans="1:17" ht="34.5" customHeight="1">
      <c r="A69" s="214" t="s">
        <v>56</v>
      </c>
      <c r="B69" s="214"/>
      <c r="C69" s="214"/>
      <c r="D69" s="197">
        <f>D68</f>
        <v>852</v>
      </c>
      <c r="E69" s="197">
        <f t="shared" si="1"/>
        <v>852</v>
      </c>
      <c r="F69" s="197">
        <f t="shared" si="1"/>
        <v>852</v>
      </c>
      <c r="G69" s="197">
        <f t="shared" si="1"/>
        <v>852</v>
      </c>
      <c r="H69" s="197">
        <f t="shared" si="1"/>
        <v>852</v>
      </c>
      <c r="I69" s="197">
        <f t="shared" si="1"/>
        <v>852</v>
      </c>
      <c r="J69" s="197">
        <f t="shared" si="1"/>
        <v>852</v>
      </c>
      <c r="K69" s="197">
        <f t="shared" si="1"/>
        <v>852</v>
      </c>
      <c r="L69" s="197">
        <v>900</v>
      </c>
      <c r="M69" s="15">
        <f t="shared" si="1"/>
        <v>900</v>
      </c>
      <c r="N69" s="15">
        <f t="shared" si="1"/>
        <v>900</v>
      </c>
      <c r="O69" s="15">
        <f t="shared" si="1"/>
        <v>900</v>
      </c>
      <c r="P69" s="213">
        <f>ROUND((D69*8+L69*4)/12,0)</f>
        <v>868</v>
      </c>
      <c r="Q69" s="213"/>
    </row>
    <row r="70" spans="1:17" ht="42" customHeight="1">
      <c r="A70" s="214" t="s">
        <v>57</v>
      </c>
      <c r="B70" s="214"/>
      <c r="C70" s="214"/>
      <c r="D70" s="197">
        <f>D69</f>
        <v>852</v>
      </c>
      <c r="E70" s="197">
        <f t="shared" si="1"/>
        <v>852</v>
      </c>
      <c r="F70" s="197">
        <f t="shared" si="1"/>
        <v>852</v>
      </c>
      <c r="G70" s="197">
        <f t="shared" si="1"/>
        <v>852</v>
      </c>
      <c r="H70" s="197">
        <f t="shared" si="1"/>
        <v>852</v>
      </c>
      <c r="I70" s="197">
        <f t="shared" si="1"/>
        <v>852</v>
      </c>
      <c r="J70" s="197">
        <f t="shared" si="1"/>
        <v>852</v>
      </c>
      <c r="K70" s="197">
        <f t="shared" si="1"/>
        <v>852</v>
      </c>
      <c r="L70" s="197">
        <v>900</v>
      </c>
      <c r="M70" s="15">
        <f t="shared" si="1"/>
        <v>900</v>
      </c>
      <c r="N70" s="15">
        <f t="shared" si="1"/>
        <v>900</v>
      </c>
      <c r="O70" s="15">
        <f t="shared" si="1"/>
        <v>900</v>
      </c>
      <c r="P70" s="213">
        <f>ROUND((D70*8+L70*4)/12,0)</f>
        <v>868</v>
      </c>
      <c r="Q70" s="213"/>
    </row>
    <row r="71" ht="15" hidden="1"/>
    <row r="73" spans="1:2" ht="15">
      <c r="A73" s="16" t="s">
        <v>58</v>
      </c>
      <c r="B73" s="17" t="s">
        <v>59</v>
      </c>
    </row>
    <row r="75" ht="15" hidden="1"/>
    <row r="76" spans="1:18" ht="27.75" customHeight="1">
      <c r="A76" s="215" t="s">
        <v>60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</row>
    <row r="79" ht="15">
      <c r="B79" s="1" t="s">
        <v>61</v>
      </c>
    </row>
    <row r="81" ht="15">
      <c r="B81" s="1" t="s">
        <v>62</v>
      </c>
    </row>
    <row r="83" spans="1:17" ht="15" customHeight="1">
      <c r="A83" s="206" t="s">
        <v>63</v>
      </c>
      <c r="B83" s="206"/>
      <c r="C83" s="206"/>
      <c r="D83" s="206" t="s">
        <v>52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 t="s">
        <v>64</v>
      </c>
      <c r="Q83" s="206"/>
    </row>
    <row r="84" spans="1:17" ht="15">
      <c r="A84" s="206"/>
      <c r="B84" s="206"/>
      <c r="C84" s="206"/>
      <c r="D84" s="11">
        <v>1</v>
      </c>
      <c r="E84" s="11">
        <v>2</v>
      </c>
      <c r="F84" s="11">
        <v>3</v>
      </c>
      <c r="G84" s="11">
        <v>4</v>
      </c>
      <c r="H84" s="11">
        <v>5</v>
      </c>
      <c r="I84" s="11">
        <v>6</v>
      </c>
      <c r="J84" s="11">
        <v>7</v>
      </c>
      <c r="K84" s="11">
        <v>8</v>
      </c>
      <c r="L84" s="11">
        <v>9</v>
      </c>
      <c r="M84" s="11">
        <v>10</v>
      </c>
      <c r="N84" s="11">
        <v>11</v>
      </c>
      <c r="O84" s="11">
        <v>12</v>
      </c>
      <c r="P84" s="206"/>
      <c r="Q84" s="206"/>
    </row>
    <row r="85" spans="1:17" ht="91.5" customHeight="1">
      <c r="A85" s="212" t="s">
        <v>65</v>
      </c>
      <c r="B85" s="212"/>
      <c r="C85" s="212"/>
      <c r="D85" s="18">
        <f aca="true" t="shared" si="2" ref="D85:P85">D107+D118</f>
        <v>745265</v>
      </c>
      <c r="E85" s="18">
        <f t="shared" si="2"/>
        <v>2440066</v>
      </c>
      <c r="F85" s="18">
        <f t="shared" si="2"/>
        <v>2928685.0000000005</v>
      </c>
      <c r="G85" s="18">
        <f t="shared" si="2"/>
        <v>3338966.0000000005</v>
      </c>
      <c r="H85" s="18">
        <f t="shared" si="2"/>
        <v>4250510</v>
      </c>
      <c r="I85" s="18">
        <f t="shared" si="2"/>
        <v>1658717.9999999998</v>
      </c>
      <c r="J85" s="18">
        <f t="shared" si="2"/>
        <v>2035052</v>
      </c>
      <c r="K85" s="18">
        <f t="shared" si="2"/>
        <v>2436225.49</v>
      </c>
      <c r="L85" s="18">
        <f t="shared" si="2"/>
        <v>1260788.5100000002</v>
      </c>
      <c r="M85" s="18">
        <f t="shared" si="2"/>
        <v>3235532.4899999998</v>
      </c>
      <c r="N85" s="18">
        <f t="shared" si="2"/>
        <v>4388309.46</v>
      </c>
      <c r="O85" s="18">
        <f t="shared" si="2"/>
        <v>2361382.0500000003</v>
      </c>
      <c r="P85" s="216">
        <f t="shared" si="2"/>
        <v>31079500</v>
      </c>
      <c r="Q85" s="216"/>
    </row>
    <row r="88" spans="1:13" ht="15">
      <c r="A88" s="16" t="s">
        <v>58</v>
      </c>
      <c r="B88" s="17" t="s">
        <v>59</v>
      </c>
      <c r="M88" s="1" t="s">
        <v>66</v>
      </c>
    </row>
    <row r="93" ht="15">
      <c r="B93" s="1" t="s">
        <v>67</v>
      </c>
    </row>
    <row r="95" spans="1:17" ht="15" customHeight="1">
      <c r="A95" s="206" t="s">
        <v>51</v>
      </c>
      <c r="B95" s="206"/>
      <c r="C95" s="206" t="s">
        <v>68</v>
      </c>
      <c r="D95" s="206" t="s">
        <v>69</v>
      </c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 t="s">
        <v>64</v>
      </c>
      <c r="Q95" s="206"/>
    </row>
    <row r="96" spans="1:17" ht="41.25" customHeight="1">
      <c r="A96" s="206"/>
      <c r="B96" s="206"/>
      <c r="C96" s="206"/>
      <c r="D96" s="11">
        <v>1</v>
      </c>
      <c r="E96" s="11">
        <v>2</v>
      </c>
      <c r="F96" s="11">
        <v>3</v>
      </c>
      <c r="G96" s="11">
        <v>4</v>
      </c>
      <c r="H96" s="11">
        <v>5</v>
      </c>
      <c r="I96" s="11">
        <v>6</v>
      </c>
      <c r="J96" s="11">
        <v>7</v>
      </c>
      <c r="K96" s="11">
        <v>8</v>
      </c>
      <c r="L96" s="11">
        <v>9</v>
      </c>
      <c r="M96" s="11">
        <v>10</v>
      </c>
      <c r="N96" s="11">
        <v>11</v>
      </c>
      <c r="O96" s="11">
        <v>12</v>
      </c>
      <c r="P96" s="206"/>
      <c r="Q96" s="206"/>
    </row>
    <row r="97" spans="1:17" ht="41.25" customHeight="1">
      <c r="A97" s="217" t="s">
        <v>70</v>
      </c>
      <c r="B97" s="217"/>
      <c r="C97" s="20" t="s">
        <v>71</v>
      </c>
      <c r="D97" s="21">
        <f aca="true" t="shared" si="3" ref="D97:O97">ROUND(D98/D67,2)</f>
        <v>43.97</v>
      </c>
      <c r="E97" s="21">
        <f t="shared" si="3"/>
        <v>155.23</v>
      </c>
      <c r="F97" s="21">
        <f t="shared" si="3"/>
        <v>166.44</v>
      </c>
      <c r="G97" s="21">
        <f t="shared" si="3"/>
        <v>155.23</v>
      </c>
      <c r="H97" s="21">
        <f t="shared" si="3"/>
        <v>298.36</v>
      </c>
      <c r="I97" s="21">
        <f t="shared" si="3"/>
        <v>155.23</v>
      </c>
      <c r="J97" s="21">
        <f t="shared" si="3"/>
        <v>126.6</v>
      </c>
      <c r="K97" s="21">
        <f t="shared" si="3"/>
        <v>155.23</v>
      </c>
      <c r="L97" s="21">
        <f t="shared" si="3"/>
        <v>146.95</v>
      </c>
      <c r="M97" s="21">
        <f t="shared" si="3"/>
        <v>159.87</v>
      </c>
      <c r="N97" s="21">
        <f t="shared" si="3"/>
        <v>186.69</v>
      </c>
      <c r="O97" s="21">
        <f t="shared" si="3"/>
        <v>210.29</v>
      </c>
      <c r="P97" s="218">
        <f>SUM(D97:O97)</f>
        <v>1960.0900000000001</v>
      </c>
      <c r="Q97" s="218"/>
    </row>
    <row r="98" spans="1:17" ht="72.75" customHeight="1">
      <c r="A98" s="217"/>
      <c r="B98" s="217"/>
      <c r="C98" s="20" t="s">
        <v>72</v>
      </c>
      <c r="D98" s="22">
        <f>бланк!C49</f>
        <v>37466</v>
      </c>
      <c r="E98" s="22">
        <f>бланк!D49</f>
        <v>132252.91999999998</v>
      </c>
      <c r="F98" s="22">
        <f>бланк!E49</f>
        <v>141802.78999999998</v>
      </c>
      <c r="G98" s="22">
        <f>бланк!G49</f>
        <v>132252.91999999998</v>
      </c>
      <c r="H98" s="22">
        <f>бланк!H49</f>
        <v>254204.29</v>
      </c>
      <c r="I98" s="22">
        <f>бланк!I49</f>
        <v>132252.91999999998</v>
      </c>
      <c r="J98" s="22">
        <f>бланк!K49</f>
        <v>107861</v>
      </c>
      <c r="K98" s="22">
        <f>бланк!L49</f>
        <v>132252</v>
      </c>
      <c r="L98" s="22">
        <f>бланк!M49</f>
        <v>132252</v>
      </c>
      <c r="M98" s="22">
        <f>бланк!O49</f>
        <v>143881</v>
      </c>
      <c r="N98" s="22">
        <f>бланк!P49</f>
        <v>168021</v>
      </c>
      <c r="O98" s="22">
        <f>бланк!Q49</f>
        <v>189257.28</v>
      </c>
      <c r="P98" s="218">
        <f aca="true" t="shared" si="4" ref="P98:P104">SUM(D98:O98)</f>
        <v>1703756.1199999999</v>
      </c>
      <c r="Q98" s="218"/>
    </row>
    <row r="99" spans="1:17" ht="54.75" customHeight="1">
      <c r="A99" s="217" t="s">
        <v>73</v>
      </c>
      <c r="B99" s="217"/>
      <c r="C99" s="20" t="s">
        <v>71</v>
      </c>
      <c r="D99" s="21">
        <f aca="true" t="shared" si="5" ref="D99:O99">ROUND(D100/D67,2)</f>
        <v>292.94</v>
      </c>
      <c r="E99" s="21">
        <f t="shared" si="5"/>
        <v>1189.88</v>
      </c>
      <c r="F99" s="21">
        <f t="shared" si="5"/>
        <v>1138.54</v>
      </c>
      <c r="G99" s="21">
        <f t="shared" si="5"/>
        <v>1187.04</v>
      </c>
      <c r="H99" s="21">
        <f t="shared" si="5"/>
        <v>1304.41</v>
      </c>
      <c r="I99" s="21">
        <f t="shared" si="5"/>
        <v>1028.21</v>
      </c>
      <c r="J99" s="21">
        <f t="shared" si="5"/>
        <v>594.75</v>
      </c>
      <c r="K99" s="21">
        <f t="shared" si="5"/>
        <v>1546.89</v>
      </c>
      <c r="L99" s="21">
        <f t="shared" si="5"/>
        <v>319.51</v>
      </c>
      <c r="M99" s="21">
        <f t="shared" si="5"/>
        <v>1074.47</v>
      </c>
      <c r="N99" s="21">
        <f t="shared" si="5"/>
        <v>2267.03</v>
      </c>
      <c r="O99" s="21">
        <f t="shared" si="5"/>
        <v>845.78</v>
      </c>
      <c r="P99" s="218">
        <f>SUM(D99:O99)</f>
        <v>12789.45</v>
      </c>
      <c r="Q99" s="218"/>
    </row>
    <row r="100" spans="1:17" ht="64.5" customHeight="1">
      <c r="A100" s="217"/>
      <c r="B100" s="217"/>
      <c r="C100" s="20" t="s">
        <v>72</v>
      </c>
      <c r="D100" s="22">
        <f>бланк!C48</f>
        <v>249589</v>
      </c>
      <c r="E100" s="22">
        <f>бланк!D48</f>
        <v>1013775.86</v>
      </c>
      <c r="F100" s="22">
        <f>бланк!E48</f>
        <v>970033.15</v>
      </c>
      <c r="G100" s="22">
        <f>бланк!G48</f>
        <v>1011356</v>
      </c>
      <c r="H100" s="22">
        <f>бланк!H48</f>
        <v>1111355.63</v>
      </c>
      <c r="I100" s="22">
        <f>бланк!I48</f>
        <v>876036.9</v>
      </c>
      <c r="J100" s="22">
        <f>бланк!K48</f>
        <v>506723</v>
      </c>
      <c r="K100" s="22">
        <f>бланк!L48</f>
        <v>1317949.06</v>
      </c>
      <c r="L100" s="22">
        <f>бланк!M48</f>
        <v>287559.77</v>
      </c>
      <c r="M100" s="22">
        <f>бланк!O48</f>
        <v>967025.9099999999</v>
      </c>
      <c r="N100" s="22">
        <f>бланк!P48</f>
        <v>2040323.8800000001</v>
      </c>
      <c r="O100" s="22">
        <f>бланк!Q48</f>
        <v>761198.7</v>
      </c>
      <c r="P100" s="218">
        <f>SUM(D100:O100)</f>
        <v>11112926.86</v>
      </c>
      <c r="Q100" s="218"/>
    </row>
    <row r="101" spans="1:17" ht="41.25" customHeight="1">
      <c r="A101" s="217" t="s">
        <v>74</v>
      </c>
      <c r="B101" s="217"/>
      <c r="C101" s="20" t="s">
        <v>71</v>
      </c>
      <c r="D101" s="21">
        <f aca="true" t="shared" si="6" ref="D101:O101">ROUND(D102/D67,2)</f>
        <v>414.87</v>
      </c>
      <c r="E101" s="21">
        <f t="shared" si="6"/>
        <v>1106.29</v>
      </c>
      <c r="F101" s="21">
        <f t="shared" si="6"/>
        <v>1318.46</v>
      </c>
      <c r="G101" s="21">
        <f t="shared" si="6"/>
        <v>1102.27</v>
      </c>
      <c r="H101" s="21">
        <f t="shared" si="6"/>
        <v>2278.96</v>
      </c>
      <c r="I101" s="21">
        <f t="shared" si="6"/>
        <v>377.53</v>
      </c>
      <c r="J101" s="21">
        <f t="shared" si="6"/>
        <v>1008.93</v>
      </c>
      <c r="K101" s="21">
        <f t="shared" si="6"/>
        <v>917.18</v>
      </c>
      <c r="L101" s="21">
        <f t="shared" si="6"/>
        <v>640.89</v>
      </c>
      <c r="M101" s="21">
        <f t="shared" si="6"/>
        <v>937.1</v>
      </c>
      <c r="N101" s="21">
        <f t="shared" si="6"/>
        <v>1054.49</v>
      </c>
      <c r="O101" s="21">
        <f t="shared" si="6"/>
        <v>922.43</v>
      </c>
      <c r="P101" s="218">
        <f t="shared" si="4"/>
        <v>12079.4</v>
      </c>
      <c r="Q101" s="218"/>
    </row>
    <row r="102" spans="1:18" ht="54" customHeight="1">
      <c r="A102" s="217"/>
      <c r="B102" s="217"/>
      <c r="C102" s="20" t="s">
        <v>72</v>
      </c>
      <c r="D102" s="22">
        <f>бланк!C45</f>
        <v>353469.69999999995</v>
      </c>
      <c r="E102" s="22">
        <f>бланк!D45</f>
        <v>942561.9900000001</v>
      </c>
      <c r="F102" s="22">
        <f>бланк!E45</f>
        <v>1123329.0100000002</v>
      </c>
      <c r="G102" s="22">
        <f>бланк!G45</f>
        <v>939135.61</v>
      </c>
      <c r="H102" s="22">
        <f>бланк!H45</f>
        <v>1941671.3</v>
      </c>
      <c r="I102" s="22">
        <f>бланк!I45</f>
        <v>321651.38</v>
      </c>
      <c r="J102" s="22">
        <f>бланк!K45</f>
        <v>859611.75</v>
      </c>
      <c r="K102" s="22">
        <f>бланк!L45</f>
        <v>781436.68</v>
      </c>
      <c r="L102" s="22">
        <f>бланк!M45</f>
        <v>576797.7100000001</v>
      </c>
      <c r="M102" s="22">
        <f>бланк!O45</f>
        <v>843391.38</v>
      </c>
      <c r="N102" s="22">
        <f>бланк!P45</f>
        <v>949045.33</v>
      </c>
      <c r="O102" s="22">
        <f>бланк!Q45</f>
        <v>830186.3600000001</v>
      </c>
      <c r="P102" s="218">
        <f t="shared" si="4"/>
        <v>10462288.2</v>
      </c>
      <c r="Q102" s="218"/>
      <c r="R102" s="201"/>
    </row>
    <row r="103" spans="1:17" ht="12.75" customHeight="1" hidden="1">
      <c r="A103" s="217" t="s">
        <v>75</v>
      </c>
      <c r="B103" s="217"/>
      <c r="C103" s="19" t="s">
        <v>71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8">
        <f t="shared" si="4"/>
        <v>0</v>
      </c>
      <c r="Q103" s="218"/>
    </row>
    <row r="104" spans="1:17" ht="12.75" customHeight="1" hidden="1">
      <c r="A104" s="217"/>
      <c r="B104" s="217"/>
      <c r="C104" s="19" t="s">
        <v>72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8">
        <f t="shared" si="4"/>
        <v>0</v>
      </c>
      <c r="Q104" s="218"/>
    </row>
    <row r="105" spans="1:17" ht="52.5" customHeight="1">
      <c r="A105" s="217" t="s">
        <v>76</v>
      </c>
      <c r="B105" s="217"/>
      <c r="C105" s="20" t="s">
        <v>71</v>
      </c>
      <c r="D105" s="21">
        <f aca="true" t="shared" si="7" ref="D105:O105">ROUND(D106/D67,2)</f>
        <v>110.64</v>
      </c>
      <c r="E105" s="21">
        <f t="shared" si="7"/>
        <v>360.12</v>
      </c>
      <c r="F105" s="21">
        <f t="shared" si="7"/>
        <v>484.06</v>
      </c>
      <c r="G105" s="21">
        <f t="shared" si="7"/>
        <v>1436.75</v>
      </c>
      <c r="H105" s="21">
        <f t="shared" si="7"/>
        <v>1044.04</v>
      </c>
      <c r="I105" s="21">
        <f t="shared" si="7"/>
        <v>360.12</v>
      </c>
      <c r="J105" s="21">
        <f t="shared" si="7"/>
        <v>153.12</v>
      </c>
      <c r="K105" s="21">
        <f t="shared" si="7"/>
        <v>237.56</v>
      </c>
      <c r="L105" s="21">
        <f t="shared" si="7"/>
        <v>293.53</v>
      </c>
      <c r="M105" s="21">
        <f t="shared" si="7"/>
        <v>407.36</v>
      </c>
      <c r="N105" s="21">
        <f t="shared" si="7"/>
        <v>1300.93</v>
      </c>
      <c r="O105" s="21">
        <f t="shared" si="7"/>
        <v>567.01</v>
      </c>
      <c r="P105" s="218">
        <f>SUM(D105:O105)</f>
        <v>6755.24</v>
      </c>
      <c r="Q105" s="218"/>
    </row>
    <row r="106" spans="1:17" ht="52.5" customHeight="1">
      <c r="A106" s="217"/>
      <c r="B106" s="217"/>
      <c r="C106" s="20" t="s">
        <v>72</v>
      </c>
      <c r="D106" s="22">
        <f>бланк!C44</f>
        <v>94262</v>
      </c>
      <c r="E106" s="22">
        <f>бланк!D44</f>
        <v>306824.14</v>
      </c>
      <c r="F106" s="22">
        <f>бланк!E44</f>
        <v>412415.85</v>
      </c>
      <c r="G106" s="22">
        <f>бланк!G44</f>
        <v>1224108</v>
      </c>
      <c r="H106" s="22">
        <f>бланк!H44</f>
        <v>889520.37</v>
      </c>
      <c r="I106" s="22">
        <f>бланк!I44</f>
        <v>306823.1</v>
      </c>
      <c r="J106" s="22">
        <f>бланк!K44</f>
        <v>130460</v>
      </c>
      <c r="K106" s="22">
        <f>бланк!L44</f>
        <v>202403</v>
      </c>
      <c r="L106" s="22">
        <f>бланк!M44</f>
        <v>264179.03</v>
      </c>
      <c r="M106" s="22">
        <f>бланк!O44</f>
        <v>366628.11</v>
      </c>
      <c r="N106" s="22">
        <f>бланк!P44</f>
        <v>1170841.47</v>
      </c>
      <c r="O106" s="22">
        <f>бланк!Q44</f>
        <v>510308.07</v>
      </c>
      <c r="P106" s="218">
        <f>SUM(D106:O106)</f>
        <v>5878773.140000001</v>
      </c>
      <c r="Q106" s="218"/>
    </row>
    <row r="107" spans="1:18" ht="77.25" customHeight="1">
      <c r="A107" s="217" t="s">
        <v>77</v>
      </c>
      <c r="B107" s="217"/>
      <c r="C107" s="19" t="s">
        <v>78</v>
      </c>
      <c r="D107" s="21">
        <f>D104+D102+D98+D106+D100</f>
        <v>734786.7</v>
      </c>
      <c r="E107" s="21">
        <f aca="true" t="shared" si="8" ref="E107:O107">E104+E102+E98+E106+E100</f>
        <v>2395414.91</v>
      </c>
      <c r="F107" s="21">
        <f t="shared" si="8"/>
        <v>2647580.8000000003</v>
      </c>
      <c r="G107" s="21">
        <f t="shared" si="8"/>
        <v>3306852.5300000003</v>
      </c>
      <c r="H107" s="21">
        <f t="shared" si="8"/>
        <v>4196751.59</v>
      </c>
      <c r="I107" s="21">
        <f t="shared" si="8"/>
        <v>1636764.2999999998</v>
      </c>
      <c r="J107" s="21">
        <f t="shared" si="8"/>
        <v>1604655.75</v>
      </c>
      <c r="K107" s="21">
        <f t="shared" si="8"/>
        <v>2434040.74</v>
      </c>
      <c r="L107" s="21">
        <f t="shared" si="8"/>
        <v>1260788.5100000002</v>
      </c>
      <c r="M107" s="21">
        <f t="shared" si="8"/>
        <v>2320926.4</v>
      </c>
      <c r="N107" s="21">
        <f t="shared" si="8"/>
        <v>4328231.68</v>
      </c>
      <c r="O107" s="21">
        <f t="shared" si="8"/>
        <v>2290950.41</v>
      </c>
      <c r="P107" s="218">
        <f>SUM(D107:O107)</f>
        <v>29157744.32</v>
      </c>
      <c r="Q107" s="218"/>
      <c r="R107" s="201">
        <f>P98+P100+P102+P106</f>
        <v>29157744.32</v>
      </c>
    </row>
    <row r="109" spans="1:2" ht="21" customHeight="1">
      <c r="A109" s="16" t="s">
        <v>58</v>
      </c>
      <c r="B109" s="17" t="s">
        <v>59</v>
      </c>
    </row>
    <row r="114" ht="15">
      <c r="B114" s="1" t="s">
        <v>79</v>
      </c>
    </row>
    <row r="116" spans="1:17" ht="15" customHeight="1">
      <c r="A116" s="206" t="s">
        <v>51</v>
      </c>
      <c r="B116" s="206"/>
      <c r="C116" s="206"/>
      <c r="D116" s="206" t="s">
        <v>69</v>
      </c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 t="s">
        <v>64</v>
      </c>
      <c r="Q116" s="206"/>
    </row>
    <row r="117" spans="1:17" ht="15">
      <c r="A117" s="206"/>
      <c r="B117" s="206"/>
      <c r="C117" s="206"/>
      <c r="D117" s="11">
        <v>1</v>
      </c>
      <c r="E117" s="11">
        <v>2</v>
      </c>
      <c r="F117" s="11">
        <v>3</v>
      </c>
      <c r="G117" s="11">
        <v>4</v>
      </c>
      <c r="H117" s="11">
        <v>5</v>
      </c>
      <c r="I117" s="11">
        <v>6</v>
      </c>
      <c r="J117" s="11">
        <v>7</v>
      </c>
      <c r="K117" s="11">
        <v>8</v>
      </c>
      <c r="L117" s="11">
        <v>9</v>
      </c>
      <c r="M117" s="11">
        <v>10</v>
      </c>
      <c r="N117" s="11">
        <v>11</v>
      </c>
      <c r="O117" s="11">
        <v>12</v>
      </c>
      <c r="P117" s="206"/>
      <c r="Q117" s="206"/>
    </row>
    <row r="118" spans="1:17" ht="81.75" customHeight="1">
      <c r="A118" s="219" t="s">
        <v>80</v>
      </c>
      <c r="B118" s="219"/>
      <c r="C118" s="219"/>
      <c r="D118" s="23">
        <f>D119</f>
        <v>10478.3</v>
      </c>
      <c r="E118" s="23">
        <f aca="true" t="shared" si="9" ref="E118:O118">E119</f>
        <v>44651.090000000004</v>
      </c>
      <c r="F118" s="23">
        <f t="shared" si="9"/>
        <v>281104.2</v>
      </c>
      <c r="G118" s="23">
        <f t="shared" si="9"/>
        <v>32113.47</v>
      </c>
      <c r="H118" s="23">
        <f t="shared" si="9"/>
        <v>53758.41</v>
      </c>
      <c r="I118" s="23">
        <f t="shared" si="9"/>
        <v>21953.7</v>
      </c>
      <c r="J118" s="23">
        <f t="shared" si="9"/>
        <v>430396.25</v>
      </c>
      <c r="K118" s="23">
        <f t="shared" si="9"/>
        <v>2184.75</v>
      </c>
      <c r="L118" s="23">
        <f t="shared" si="9"/>
        <v>0</v>
      </c>
      <c r="M118" s="23">
        <f t="shared" si="9"/>
        <v>914606.09</v>
      </c>
      <c r="N118" s="23">
        <f t="shared" si="9"/>
        <v>60077.78</v>
      </c>
      <c r="O118" s="23">
        <f t="shared" si="9"/>
        <v>70431.64</v>
      </c>
      <c r="P118" s="213">
        <f>SUM(D118:O118)</f>
        <v>1921755.6800000002</v>
      </c>
      <c r="Q118" s="213"/>
    </row>
    <row r="119" spans="1:17" ht="51" customHeight="1">
      <c r="A119" s="214" t="s">
        <v>75</v>
      </c>
      <c r="B119" s="214"/>
      <c r="C119" s="214"/>
      <c r="D119" s="24">
        <f>бланк!C53</f>
        <v>10478.3</v>
      </c>
      <c r="E119" s="24">
        <f>бланк!D53</f>
        <v>44651.090000000004</v>
      </c>
      <c r="F119" s="24">
        <f>бланк!E53</f>
        <v>281104.2</v>
      </c>
      <c r="G119" s="24">
        <f>бланк!G53</f>
        <v>32113.47</v>
      </c>
      <c r="H119" s="24">
        <f>бланк!H53</f>
        <v>53758.41</v>
      </c>
      <c r="I119" s="24">
        <f>бланк!I53</f>
        <v>21953.7</v>
      </c>
      <c r="J119" s="24">
        <f>бланк!K53</f>
        <v>430396.25</v>
      </c>
      <c r="K119" s="24">
        <f>бланк!L53</f>
        <v>2184.75</v>
      </c>
      <c r="L119" s="24">
        <f>бланк!M53</f>
        <v>0</v>
      </c>
      <c r="M119" s="24">
        <f>бланк!O53</f>
        <v>914606.09</v>
      </c>
      <c r="N119" s="24">
        <f>бланк!P53</f>
        <v>60077.78</v>
      </c>
      <c r="O119" s="24">
        <f>бланк!Q53</f>
        <v>70431.64</v>
      </c>
      <c r="P119" s="218">
        <f>SUM(D119:O119)</f>
        <v>1921755.6800000002</v>
      </c>
      <c r="Q119" s="218"/>
    </row>
    <row r="121" spans="1:2" ht="15">
      <c r="A121" s="16" t="s">
        <v>58</v>
      </c>
      <c r="B121" s="17" t="s">
        <v>59</v>
      </c>
    </row>
    <row r="122" ht="15">
      <c r="R122" s="201">
        <f>P107+P119</f>
        <v>31079500</v>
      </c>
    </row>
    <row r="125" ht="15">
      <c r="B125" s="1" t="s">
        <v>81</v>
      </c>
    </row>
    <row r="127" spans="1:17" ht="15" customHeight="1">
      <c r="A127" s="206" t="s">
        <v>82</v>
      </c>
      <c r="B127" s="206"/>
      <c r="C127" s="206"/>
      <c r="D127" s="206" t="s">
        <v>69</v>
      </c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 t="s">
        <v>64</v>
      </c>
      <c r="Q127" s="206"/>
    </row>
    <row r="128" spans="1:17" ht="15">
      <c r="A128" s="206"/>
      <c r="B128" s="206"/>
      <c r="C128" s="206"/>
      <c r="D128" s="11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206"/>
      <c r="Q128" s="206"/>
    </row>
    <row r="129" spans="1:17" ht="102" customHeight="1">
      <c r="A129" s="219" t="s">
        <v>80</v>
      </c>
      <c r="B129" s="219"/>
      <c r="C129" s="219"/>
      <c r="D129" s="193">
        <f>D131+D132+D133+D134+D135+D137+D138+D139+D140+D141+D142+D143</f>
        <v>257827</v>
      </c>
      <c r="E129" s="193">
        <f aca="true" t="shared" si="10" ref="E129:O129">E131+E132+E133+E134+E135+E137+E138+E139+E140+E141+E142+E143</f>
        <v>272500</v>
      </c>
      <c r="F129" s="193">
        <f t="shared" si="10"/>
        <v>123075</v>
      </c>
      <c r="G129" s="193">
        <f t="shared" si="10"/>
        <v>819065</v>
      </c>
      <c r="H129" s="193">
        <f t="shared" si="10"/>
        <v>18350</v>
      </c>
      <c r="I129" s="193">
        <f t="shared" si="10"/>
        <v>187927</v>
      </c>
      <c r="J129" s="193">
        <f t="shared" si="10"/>
        <v>710125</v>
      </c>
      <c r="K129" s="193">
        <f t="shared" si="10"/>
        <v>288274</v>
      </c>
      <c r="L129" s="193">
        <f t="shared" si="10"/>
        <v>2466</v>
      </c>
      <c r="M129" s="193">
        <f t="shared" si="10"/>
        <v>362144</v>
      </c>
      <c r="N129" s="193">
        <f t="shared" si="10"/>
        <v>306404</v>
      </c>
      <c r="O129" s="193">
        <f t="shared" si="10"/>
        <v>247068</v>
      </c>
      <c r="P129" s="218">
        <f>SUM(P131:Q146)</f>
        <v>3717613</v>
      </c>
      <c r="Q129" s="218"/>
    </row>
    <row r="130" spans="1:17" ht="12.75" customHeight="1" hidden="1">
      <c r="A130" s="219" t="s">
        <v>83</v>
      </c>
      <c r="B130" s="219"/>
      <c r="C130" s="219"/>
      <c r="D130" s="193"/>
      <c r="E130" s="193"/>
      <c r="F130" s="193"/>
      <c r="G130" s="193"/>
      <c r="H130" s="193"/>
      <c r="I130" s="193"/>
      <c r="J130" s="193"/>
      <c r="K130" s="193"/>
      <c r="L130" s="193"/>
      <c r="M130" s="25"/>
      <c r="N130" s="25"/>
      <c r="O130" s="25"/>
      <c r="P130" s="218">
        <f>SUM(D130:O130)</f>
        <v>0</v>
      </c>
      <c r="Q130" s="218"/>
    </row>
    <row r="131" spans="1:17" ht="46.5" customHeight="1">
      <c r="A131" s="219" t="s">
        <v>84</v>
      </c>
      <c r="B131" s="219"/>
      <c r="C131" s="219"/>
      <c r="D131" s="193"/>
      <c r="E131" s="193">
        <v>28080</v>
      </c>
      <c r="F131" s="193">
        <v>34420</v>
      </c>
      <c r="G131" s="193">
        <v>68000</v>
      </c>
      <c r="H131" s="193">
        <v>15200</v>
      </c>
      <c r="I131" s="193">
        <v>41800</v>
      </c>
      <c r="J131" s="193">
        <v>21000</v>
      </c>
      <c r="K131" s="193">
        <v>41500</v>
      </c>
      <c r="L131" s="193"/>
      <c r="M131" s="193">
        <v>61064</v>
      </c>
      <c r="N131" s="193">
        <v>63936</v>
      </c>
      <c r="O131" s="193">
        <v>4200</v>
      </c>
      <c r="P131" s="218">
        <f>SUM(D131:O131)</f>
        <v>379200</v>
      </c>
      <c r="Q131" s="218"/>
    </row>
    <row r="132" spans="1:17" ht="38.25" customHeight="1">
      <c r="A132" s="210" t="s">
        <v>85</v>
      </c>
      <c r="B132" s="210"/>
      <c r="C132" s="210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218">
        <f aca="true" t="shared" si="11" ref="P132:P138">SUM(D132:O132)</f>
        <v>0</v>
      </c>
      <c r="Q132" s="218"/>
    </row>
    <row r="133" spans="1:17" ht="12.75" customHeight="1" hidden="1">
      <c r="A133" s="210" t="s">
        <v>86</v>
      </c>
      <c r="B133" s="210"/>
      <c r="C133" s="210"/>
      <c r="D133" s="193"/>
      <c r="E133" s="193"/>
      <c r="F133" s="193"/>
      <c r="G133" s="193"/>
      <c r="H133" s="193"/>
      <c r="I133" s="193"/>
      <c r="J133" s="193"/>
      <c r="K133" s="193"/>
      <c r="L133" s="193"/>
      <c r="M133" s="25"/>
      <c r="N133" s="25"/>
      <c r="O133" s="25"/>
      <c r="P133" s="218">
        <f t="shared" si="11"/>
        <v>0</v>
      </c>
      <c r="Q133" s="218"/>
    </row>
    <row r="134" spans="1:17" ht="12.75" customHeight="1" hidden="1">
      <c r="A134" s="210" t="s">
        <v>87</v>
      </c>
      <c r="B134" s="210"/>
      <c r="C134" s="210"/>
      <c r="D134" s="193"/>
      <c r="E134" s="193"/>
      <c r="F134" s="193"/>
      <c r="G134" s="193"/>
      <c r="H134" s="193"/>
      <c r="I134" s="193"/>
      <c r="J134" s="193"/>
      <c r="K134" s="193"/>
      <c r="L134" s="193"/>
      <c r="M134" s="25"/>
      <c r="N134" s="25"/>
      <c r="O134" s="25"/>
      <c r="P134" s="218">
        <f t="shared" si="11"/>
        <v>0</v>
      </c>
      <c r="Q134" s="218"/>
    </row>
    <row r="135" spans="1:17" ht="12.75" customHeight="1" hidden="1">
      <c r="A135" s="220" t="s">
        <v>88</v>
      </c>
      <c r="B135" s="220"/>
      <c r="C135" s="220"/>
      <c r="D135" s="193"/>
      <c r="E135" s="193"/>
      <c r="F135" s="193"/>
      <c r="G135" s="193"/>
      <c r="H135" s="193"/>
      <c r="I135" s="193"/>
      <c r="J135" s="193"/>
      <c r="K135" s="193"/>
      <c r="L135" s="193"/>
      <c r="M135" s="25"/>
      <c r="N135" s="25"/>
      <c r="O135" s="25"/>
      <c r="P135" s="218">
        <f>SUM(D135:O135)</f>
        <v>0</v>
      </c>
      <c r="Q135" s="218"/>
    </row>
    <row r="136" spans="1:17" ht="12.75" customHeight="1" hidden="1">
      <c r="A136" s="220" t="s">
        <v>89</v>
      </c>
      <c r="B136" s="220"/>
      <c r="C136" s="220"/>
      <c r="D136" s="193"/>
      <c r="E136" s="193"/>
      <c r="F136" s="193"/>
      <c r="G136" s="193"/>
      <c r="H136" s="193"/>
      <c r="I136" s="193"/>
      <c r="J136" s="193"/>
      <c r="K136" s="193"/>
      <c r="L136" s="193"/>
      <c r="M136" s="25"/>
      <c r="N136" s="25"/>
      <c r="O136" s="25"/>
      <c r="P136" s="218">
        <f>SUM(D136:O136)</f>
        <v>0</v>
      </c>
      <c r="Q136" s="218"/>
    </row>
    <row r="137" spans="1:17" ht="39.75" customHeight="1">
      <c r="A137" s="210" t="s">
        <v>90</v>
      </c>
      <c r="B137" s="210"/>
      <c r="C137" s="210"/>
      <c r="D137" s="193">
        <v>7000</v>
      </c>
      <c r="E137" s="193">
        <v>10160</v>
      </c>
      <c r="F137" s="193">
        <v>0</v>
      </c>
      <c r="G137" s="193">
        <v>15400</v>
      </c>
      <c r="H137" s="193"/>
      <c r="I137" s="193"/>
      <c r="J137" s="193"/>
      <c r="K137" s="193">
        <v>8800</v>
      </c>
      <c r="L137" s="193"/>
      <c r="M137" s="193"/>
      <c r="N137" s="193">
        <v>33440</v>
      </c>
      <c r="O137" s="193">
        <v>107400</v>
      </c>
      <c r="P137" s="218">
        <f t="shared" si="11"/>
        <v>182200</v>
      </c>
      <c r="Q137" s="218"/>
    </row>
    <row r="138" spans="1:17" ht="12.75" customHeight="1" hidden="1">
      <c r="A138" s="210" t="s">
        <v>91</v>
      </c>
      <c r="B138" s="210"/>
      <c r="C138" s="210"/>
      <c r="D138" s="193"/>
      <c r="E138" s="193"/>
      <c r="F138" s="193"/>
      <c r="G138" s="193"/>
      <c r="H138" s="193"/>
      <c r="I138" s="193"/>
      <c r="J138" s="193"/>
      <c r="K138" s="193"/>
      <c r="L138" s="193"/>
      <c r="M138" s="25"/>
      <c r="N138" s="25"/>
      <c r="O138" s="25"/>
      <c r="P138" s="218">
        <f t="shared" si="11"/>
        <v>0</v>
      </c>
      <c r="Q138" s="218"/>
    </row>
    <row r="139" spans="1:17" ht="38.25" customHeight="1">
      <c r="A139" s="220" t="s">
        <v>92</v>
      </c>
      <c r="B139" s="220"/>
      <c r="C139" s="220"/>
      <c r="D139" s="193">
        <v>70300</v>
      </c>
      <c r="E139" s="193">
        <v>93924</v>
      </c>
      <c r="F139" s="193">
        <v>85500</v>
      </c>
      <c r="G139" s="193">
        <v>166309</v>
      </c>
      <c r="H139" s="193"/>
      <c r="I139" s="193"/>
      <c r="J139" s="193">
        <v>85500</v>
      </c>
      <c r="K139" s="193">
        <v>80000</v>
      </c>
      <c r="L139" s="193"/>
      <c r="M139" s="193">
        <v>71880</v>
      </c>
      <c r="N139" s="193">
        <v>22149</v>
      </c>
      <c r="O139" s="193">
        <v>17038</v>
      </c>
      <c r="P139" s="218">
        <f>SUM(D139:O139)</f>
        <v>692600</v>
      </c>
      <c r="Q139" s="218"/>
    </row>
    <row r="140" spans="1:17" ht="95.25" customHeight="1">
      <c r="A140" s="220" t="s">
        <v>93</v>
      </c>
      <c r="B140" s="220"/>
      <c r="C140" s="220"/>
      <c r="D140" s="193">
        <v>177375</v>
      </c>
      <c r="E140" s="193">
        <v>137184</v>
      </c>
      <c r="F140" s="193">
        <v>0</v>
      </c>
      <c r="G140" s="193">
        <v>566206</v>
      </c>
      <c r="H140" s="193"/>
      <c r="I140" s="193"/>
      <c r="J140" s="193">
        <v>206100</v>
      </c>
      <c r="K140" s="193">
        <v>150000</v>
      </c>
      <c r="L140" s="193"/>
      <c r="M140" s="193">
        <v>225000</v>
      </c>
      <c r="N140" s="193">
        <v>185000</v>
      </c>
      <c r="O140" s="193">
        <v>113535</v>
      </c>
      <c r="P140" s="218">
        <f>SUM(D140:O140)</f>
        <v>1760400</v>
      </c>
      <c r="Q140" s="218"/>
    </row>
    <row r="141" spans="1:17" ht="129" customHeight="1">
      <c r="A141" s="214" t="s">
        <v>94</v>
      </c>
      <c r="B141" s="214"/>
      <c r="C141" s="214"/>
      <c r="D141" s="193">
        <v>3152</v>
      </c>
      <c r="E141" s="193">
        <v>3152</v>
      </c>
      <c r="F141" s="193">
        <v>3155</v>
      </c>
      <c r="G141" s="193">
        <v>3150</v>
      </c>
      <c r="H141" s="193">
        <v>3150</v>
      </c>
      <c r="I141" s="193">
        <v>5702</v>
      </c>
      <c r="J141" s="193"/>
      <c r="K141" s="193">
        <v>7974</v>
      </c>
      <c r="L141" s="193">
        <v>2466</v>
      </c>
      <c r="M141" s="193">
        <v>4200</v>
      </c>
      <c r="N141" s="193">
        <v>1879</v>
      </c>
      <c r="O141" s="193">
        <v>4895</v>
      </c>
      <c r="P141" s="218">
        <f>SUM(D141:O141)</f>
        <v>42875</v>
      </c>
      <c r="Q141" s="218"/>
    </row>
    <row r="142" spans="1:17" ht="85.5" customHeight="1">
      <c r="A142" s="214" t="s">
        <v>95</v>
      </c>
      <c r="B142" s="214"/>
      <c r="C142" s="214"/>
      <c r="D142" s="193"/>
      <c r="E142" s="193"/>
      <c r="F142" s="193"/>
      <c r="G142" s="193"/>
      <c r="H142" s="193"/>
      <c r="I142" s="193">
        <v>111825</v>
      </c>
      <c r="J142" s="193">
        <v>260925</v>
      </c>
      <c r="K142" s="193"/>
      <c r="L142" s="193"/>
      <c r="M142" s="193"/>
      <c r="N142" s="193"/>
      <c r="O142" s="193"/>
      <c r="P142" s="218">
        <f>SUM(D142:O142)</f>
        <v>372750</v>
      </c>
      <c r="Q142" s="218"/>
    </row>
    <row r="143" spans="1:17" ht="52.5" customHeight="1">
      <c r="A143" s="221" t="s">
        <v>89</v>
      </c>
      <c r="B143" s="221"/>
      <c r="C143" s="221"/>
      <c r="D143" s="194"/>
      <c r="E143" s="194"/>
      <c r="F143" s="194"/>
      <c r="G143" s="194"/>
      <c r="H143" s="194"/>
      <c r="I143" s="193">
        <v>28600</v>
      </c>
      <c r="J143" s="193">
        <f>65812+36500+28188+6100</f>
        <v>136600</v>
      </c>
      <c r="K143" s="194"/>
      <c r="L143" s="194"/>
      <c r="M143" s="194"/>
      <c r="N143" s="194"/>
      <c r="O143" s="194"/>
      <c r="P143" s="218">
        <f>SUM(D143:O143)</f>
        <v>165200</v>
      </c>
      <c r="Q143" s="218"/>
    </row>
    <row r="144" spans="1:17" ht="12.75" customHeight="1" hidden="1">
      <c r="A144" s="214" t="s">
        <v>96</v>
      </c>
      <c r="B144" s="214"/>
      <c r="C144" s="21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213"/>
      <c r="Q144" s="213"/>
    </row>
    <row r="145" spans="1:17" ht="12.75" customHeight="1" hidden="1">
      <c r="A145" s="214" t="s">
        <v>97</v>
      </c>
      <c r="B145" s="214"/>
      <c r="C145" s="21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213"/>
      <c r="Q145" s="213"/>
    </row>
    <row r="146" spans="1:17" ht="45" customHeight="1">
      <c r="A146" s="214" t="s">
        <v>267</v>
      </c>
      <c r="B146" s="214"/>
      <c r="C146" s="214"/>
      <c r="D146" s="193"/>
      <c r="E146" s="193"/>
      <c r="F146" s="193"/>
      <c r="G146" s="193"/>
      <c r="H146" s="193"/>
      <c r="I146" s="193"/>
      <c r="J146" s="193"/>
      <c r="K146" s="193"/>
      <c r="L146" s="193">
        <v>122388</v>
      </c>
      <c r="M146" s="193"/>
      <c r="N146" s="193"/>
      <c r="O146" s="193"/>
      <c r="P146" s="218">
        <f>SUM(D146:O146)</f>
        <v>122388</v>
      </c>
      <c r="Q146" s="218"/>
    </row>
    <row r="147" spans="1:2" ht="15">
      <c r="A147" s="16" t="s">
        <v>58</v>
      </c>
      <c r="B147" s="17" t="s">
        <v>59</v>
      </c>
    </row>
    <row r="151" ht="15">
      <c r="B151" s="1" t="s">
        <v>98</v>
      </c>
    </row>
    <row r="153" ht="15">
      <c r="B153" s="1" t="s">
        <v>99</v>
      </c>
    </row>
    <row r="155" spans="1:18" ht="42.75" customHeight="1">
      <c r="A155" s="26" t="s">
        <v>100</v>
      </c>
      <c r="B155" s="206" t="s">
        <v>101</v>
      </c>
      <c r="C155" s="206"/>
      <c r="D155" s="222" t="s">
        <v>102</v>
      </c>
      <c r="E155" s="222"/>
      <c r="F155" s="206" t="s">
        <v>103</v>
      </c>
      <c r="G155" s="206"/>
      <c r="H155" s="206"/>
      <c r="I155" s="206"/>
      <c r="J155" s="206"/>
      <c r="K155" s="206"/>
      <c r="L155" s="206"/>
      <c r="M155" s="206"/>
      <c r="N155" s="223" t="s">
        <v>104</v>
      </c>
      <c r="O155" s="223"/>
      <c r="P155" s="223"/>
      <c r="Q155" s="223"/>
      <c r="R155" s="223"/>
    </row>
    <row r="156" spans="1:18" ht="27.75" customHeight="1">
      <c r="A156" s="224" t="s">
        <v>105</v>
      </c>
      <c r="B156" s="224"/>
      <c r="C156" s="224"/>
      <c r="D156" s="224"/>
      <c r="E156" s="224"/>
      <c r="F156" s="225" t="s">
        <v>106</v>
      </c>
      <c r="G156" s="225"/>
      <c r="H156" s="225" t="s">
        <v>107</v>
      </c>
      <c r="I156" s="225"/>
      <c r="J156" s="225" t="s">
        <v>108</v>
      </c>
      <c r="K156" s="225"/>
      <c r="L156" s="225" t="s">
        <v>109</v>
      </c>
      <c r="M156" s="225"/>
      <c r="N156" s="225" t="s">
        <v>106</v>
      </c>
      <c r="O156" s="225"/>
      <c r="P156" s="7" t="s">
        <v>107</v>
      </c>
      <c r="Q156" s="7" t="s">
        <v>108</v>
      </c>
      <c r="R156" s="11" t="s">
        <v>109</v>
      </c>
    </row>
    <row r="157" spans="1:18" ht="45.75" customHeight="1">
      <c r="A157" s="27">
        <v>1</v>
      </c>
      <c r="B157" s="227" t="s">
        <v>110</v>
      </c>
      <c r="C157" s="227"/>
      <c r="D157" s="206"/>
      <c r="E157" s="206"/>
      <c r="F157" s="228" t="s">
        <v>111</v>
      </c>
      <c r="G157" s="228"/>
      <c r="H157" s="229" t="s">
        <v>111</v>
      </c>
      <c r="I157" s="229"/>
      <c r="J157" s="229" t="s">
        <v>111</v>
      </c>
      <c r="K157" s="229"/>
      <c r="L157" s="229" t="s">
        <v>111</v>
      </c>
      <c r="M157" s="229"/>
      <c r="N157" s="223" t="s">
        <v>112</v>
      </c>
      <c r="O157" s="223"/>
      <c r="P157" s="7" t="s">
        <v>112</v>
      </c>
      <c r="Q157" s="7" t="s">
        <v>112</v>
      </c>
      <c r="R157" s="11"/>
    </row>
    <row r="158" spans="1:18" ht="48.75" customHeight="1">
      <c r="A158" s="28">
        <v>2</v>
      </c>
      <c r="B158" s="220" t="s">
        <v>113</v>
      </c>
      <c r="C158" s="220"/>
      <c r="D158" s="221"/>
      <c r="E158" s="221"/>
      <c r="F158" s="232" t="s">
        <v>114</v>
      </c>
      <c r="G158" s="232"/>
      <c r="H158" s="210" t="s">
        <v>114</v>
      </c>
      <c r="I158" s="210"/>
      <c r="J158" s="210" t="s">
        <v>114</v>
      </c>
      <c r="K158" s="210"/>
      <c r="L158" s="210" t="s">
        <v>114</v>
      </c>
      <c r="M158" s="210"/>
      <c r="N158" s="226">
        <v>1.58</v>
      </c>
      <c r="O158" s="226"/>
      <c r="P158" s="29">
        <v>1.58</v>
      </c>
      <c r="Q158" s="29">
        <v>1.58</v>
      </c>
      <c r="R158" s="30"/>
    </row>
    <row r="159" spans="1:18" ht="84.75" customHeight="1">
      <c r="A159" s="28">
        <v>3</v>
      </c>
      <c r="B159" s="220" t="s">
        <v>115</v>
      </c>
      <c r="C159" s="220"/>
      <c r="D159" s="213"/>
      <c r="E159" s="213"/>
      <c r="F159" s="230" t="s">
        <v>116</v>
      </c>
      <c r="G159" s="230"/>
      <c r="H159" s="231" t="s">
        <v>116</v>
      </c>
      <c r="I159" s="231"/>
      <c r="J159" s="231" t="s">
        <v>116</v>
      </c>
      <c r="K159" s="231"/>
      <c r="L159" s="231" t="s">
        <v>116</v>
      </c>
      <c r="M159" s="231"/>
      <c r="N159" s="213" t="s">
        <v>117</v>
      </c>
      <c r="O159" s="213"/>
      <c r="P159" s="13" t="s">
        <v>117</v>
      </c>
      <c r="Q159" s="13" t="s">
        <v>117</v>
      </c>
      <c r="R159" s="31"/>
    </row>
    <row r="160" spans="1:18" ht="72" customHeight="1">
      <c r="A160" s="31">
        <v>4</v>
      </c>
      <c r="B160" s="220" t="s">
        <v>118</v>
      </c>
      <c r="C160" s="220"/>
      <c r="D160" s="233"/>
      <c r="E160" s="233"/>
      <c r="F160" s="232" t="s">
        <v>116</v>
      </c>
      <c r="G160" s="232"/>
      <c r="H160" s="210" t="s">
        <v>116</v>
      </c>
      <c r="I160" s="210"/>
      <c r="J160" s="210" t="s">
        <v>116</v>
      </c>
      <c r="K160" s="210"/>
      <c r="L160" s="210" t="s">
        <v>116</v>
      </c>
      <c r="M160" s="210"/>
      <c r="N160" s="233" t="s">
        <v>117</v>
      </c>
      <c r="O160" s="233"/>
      <c r="P160" s="32" t="s">
        <v>117</v>
      </c>
      <c r="Q160" s="32" t="s">
        <v>117</v>
      </c>
      <c r="R160" s="31"/>
    </row>
    <row r="161" spans="1:18" ht="37.5" customHeight="1">
      <c r="A161" s="31">
        <v>5</v>
      </c>
      <c r="B161" s="220" t="s">
        <v>119</v>
      </c>
      <c r="C161" s="220"/>
      <c r="D161" s="208"/>
      <c r="E161" s="208"/>
      <c r="F161" s="234" t="s">
        <v>120</v>
      </c>
      <c r="G161" s="234"/>
      <c r="H161" s="208" t="s">
        <v>120</v>
      </c>
      <c r="I161" s="208"/>
      <c r="J161" s="208" t="s">
        <v>120</v>
      </c>
      <c r="K161" s="208"/>
      <c r="L161" s="208" t="s">
        <v>120</v>
      </c>
      <c r="M161" s="208"/>
      <c r="N161" s="235">
        <v>1</v>
      </c>
      <c r="O161" s="235"/>
      <c r="P161" s="33">
        <v>1</v>
      </c>
      <c r="Q161" s="33">
        <v>1</v>
      </c>
      <c r="R161" s="31"/>
    </row>
    <row r="162" spans="1:18" ht="50.25" customHeight="1">
      <c r="A162" s="31">
        <v>6</v>
      </c>
      <c r="B162" s="220" t="s">
        <v>121</v>
      </c>
      <c r="C162" s="220"/>
      <c r="D162" s="208"/>
      <c r="E162" s="208"/>
      <c r="F162" s="234" t="s">
        <v>122</v>
      </c>
      <c r="G162" s="234"/>
      <c r="H162" s="208" t="s">
        <v>122</v>
      </c>
      <c r="I162" s="208"/>
      <c r="J162" s="208" t="s">
        <v>122</v>
      </c>
      <c r="K162" s="208"/>
      <c r="L162" s="208" t="s">
        <v>122</v>
      </c>
      <c r="M162" s="208"/>
      <c r="N162" s="236">
        <v>0.628</v>
      </c>
      <c r="O162" s="236"/>
      <c r="P162" s="34">
        <v>0.628</v>
      </c>
      <c r="Q162" s="34">
        <v>0.628</v>
      </c>
      <c r="R162" s="31"/>
    </row>
    <row r="163" spans="1:18" ht="95.25" customHeight="1">
      <c r="A163" s="31">
        <v>7</v>
      </c>
      <c r="B163" s="220" t="s">
        <v>123</v>
      </c>
      <c r="C163" s="220"/>
      <c r="D163" s="208"/>
      <c r="E163" s="208"/>
      <c r="F163" s="220" t="s">
        <v>124</v>
      </c>
      <c r="G163" s="220"/>
      <c r="H163" s="220" t="s">
        <v>124</v>
      </c>
      <c r="I163" s="220"/>
      <c r="J163" s="220" t="s">
        <v>124</v>
      </c>
      <c r="K163" s="220"/>
      <c r="L163" s="220" t="s">
        <v>124</v>
      </c>
      <c r="M163" s="220"/>
      <c r="N163" s="208" t="s">
        <v>125</v>
      </c>
      <c r="O163" s="208"/>
      <c r="P163" s="35" t="s">
        <v>125</v>
      </c>
      <c r="Q163" s="35" t="s">
        <v>125</v>
      </c>
      <c r="R163" s="35"/>
    </row>
    <row r="165" ht="15">
      <c r="A165" s="36"/>
    </row>
    <row r="166" spans="1:18" ht="30.75" customHeight="1">
      <c r="A166" s="215" t="s">
        <v>60</v>
      </c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</row>
    <row r="169" ht="15">
      <c r="B169" s="1" t="s">
        <v>126</v>
      </c>
    </row>
    <row r="171" spans="1:18" ht="26.25" customHeight="1">
      <c r="A171" s="26" t="s">
        <v>100</v>
      </c>
      <c r="B171" s="206" t="s">
        <v>101</v>
      </c>
      <c r="C171" s="206"/>
      <c r="D171" s="206"/>
      <c r="E171" s="206" t="s">
        <v>102</v>
      </c>
      <c r="F171" s="206"/>
      <c r="G171" s="206"/>
      <c r="H171" s="206"/>
      <c r="I171" s="233" t="s">
        <v>103</v>
      </c>
      <c r="J171" s="233"/>
      <c r="K171" s="233"/>
      <c r="L171" s="233"/>
      <c r="M171" s="233"/>
      <c r="N171" s="233" t="s">
        <v>104</v>
      </c>
      <c r="O171" s="233"/>
      <c r="P171" s="233"/>
      <c r="Q171" s="233"/>
      <c r="R171" s="36"/>
    </row>
    <row r="172" spans="1:17" ht="36.75" customHeight="1">
      <c r="A172" s="31">
        <v>1</v>
      </c>
      <c r="B172" s="220" t="s">
        <v>127</v>
      </c>
      <c r="C172" s="220"/>
      <c r="D172" s="220"/>
      <c r="E172" s="233"/>
      <c r="F172" s="233"/>
      <c r="G172" s="233"/>
      <c r="H172" s="233"/>
      <c r="I172" s="237" t="s">
        <v>128</v>
      </c>
      <c r="J172" s="237"/>
      <c r="K172" s="237"/>
      <c r="L172" s="237"/>
      <c r="M172" s="237"/>
      <c r="N172" s="233" t="s">
        <v>112</v>
      </c>
      <c r="O172" s="233"/>
      <c r="P172" s="233"/>
      <c r="Q172" s="233"/>
    </row>
    <row r="173" spans="1:17" ht="48" customHeight="1">
      <c r="A173" s="31">
        <v>2</v>
      </c>
      <c r="B173" s="220" t="s">
        <v>129</v>
      </c>
      <c r="C173" s="220"/>
      <c r="D173" s="220"/>
      <c r="E173" s="233"/>
      <c r="F173" s="233"/>
      <c r="G173" s="233"/>
      <c r="H173" s="233"/>
      <c r="I173" s="237" t="s">
        <v>130</v>
      </c>
      <c r="J173" s="237"/>
      <c r="K173" s="237"/>
      <c r="L173" s="237"/>
      <c r="M173" s="237"/>
      <c r="N173" s="238">
        <v>0.02</v>
      </c>
      <c r="O173" s="238"/>
      <c r="P173" s="238"/>
      <c r="Q173" s="238"/>
    </row>
    <row r="174" spans="1:17" ht="24.75" customHeight="1">
      <c r="A174" s="31">
        <v>3</v>
      </c>
      <c r="B174" s="220" t="s">
        <v>131</v>
      </c>
      <c r="C174" s="220"/>
      <c r="D174" s="220"/>
      <c r="E174" s="233"/>
      <c r="F174" s="233"/>
      <c r="G174" s="233"/>
      <c r="H174" s="233"/>
      <c r="I174" s="237" t="s">
        <v>116</v>
      </c>
      <c r="J174" s="237"/>
      <c r="K174" s="237"/>
      <c r="L174" s="237"/>
      <c r="M174" s="237"/>
      <c r="N174" s="233" t="s">
        <v>117</v>
      </c>
      <c r="O174" s="233"/>
      <c r="P174" s="233"/>
      <c r="Q174" s="233"/>
    </row>
    <row r="175" spans="1:17" ht="50.25" customHeight="1">
      <c r="A175" s="31">
        <v>4</v>
      </c>
      <c r="B175" s="220" t="s">
        <v>132</v>
      </c>
      <c r="C175" s="220"/>
      <c r="D175" s="220"/>
      <c r="E175" s="233"/>
      <c r="F175" s="233"/>
      <c r="G175" s="233"/>
      <c r="H175" s="233"/>
      <c r="I175" s="237" t="s">
        <v>133</v>
      </c>
      <c r="J175" s="237"/>
      <c r="K175" s="237"/>
      <c r="L175" s="237"/>
      <c r="M175" s="237"/>
      <c r="N175" s="238">
        <v>0.82</v>
      </c>
      <c r="O175" s="238"/>
      <c r="P175" s="238"/>
      <c r="Q175" s="238"/>
    </row>
    <row r="177" spans="1:2" ht="15">
      <c r="A177" s="16" t="s">
        <v>134</v>
      </c>
      <c r="B177" s="17" t="s">
        <v>135</v>
      </c>
    </row>
    <row r="179" spans="1:18" ht="30.75" customHeight="1">
      <c r="A179" s="215" t="s">
        <v>60</v>
      </c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</row>
    <row r="182" ht="15">
      <c r="B182" s="1" t="s">
        <v>136</v>
      </c>
    </row>
    <row r="184" spans="1:17" ht="30" customHeight="1">
      <c r="A184" s="7" t="s">
        <v>100</v>
      </c>
      <c r="B184" s="239" t="s">
        <v>137</v>
      </c>
      <c r="C184" s="239"/>
      <c r="D184" s="239"/>
      <c r="E184" s="240" t="s">
        <v>138</v>
      </c>
      <c r="F184" s="240"/>
      <c r="G184" s="240"/>
      <c r="H184" s="240"/>
      <c r="I184" s="240" t="s">
        <v>139</v>
      </c>
      <c r="J184" s="240"/>
      <c r="K184" s="240"/>
      <c r="L184" s="240"/>
      <c r="M184" s="240"/>
      <c r="N184" s="240" t="s">
        <v>140</v>
      </c>
      <c r="O184" s="240"/>
      <c r="P184" s="240"/>
      <c r="Q184" s="240"/>
    </row>
    <row r="185" spans="1:17" ht="70.5" customHeight="1">
      <c r="A185" s="31">
        <v>1</v>
      </c>
      <c r="B185" s="220" t="s">
        <v>141</v>
      </c>
      <c r="C185" s="220"/>
      <c r="D185" s="220"/>
      <c r="E185" s="233">
        <v>2012</v>
      </c>
      <c r="F185" s="233"/>
      <c r="G185" s="233"/>
      <c r="H185" s="233"/>
      <c r="I185" s="241">
        <f>P85+P129</f>
        <v>34797113</v>
      </c>
      <c r="J185" s="241"/>
      <c r="K185" s="241"/>
      <c r="L185" s="241"/>
      <c r="M185" s="241"/>
      <c r="N185" s="233">
        <f>P67</f>
        <v>868</v>
      </c>
      <c r="O185" s="233"/>
      <c r="P185" s="233"/>
      <c r="Q185" s="233"/>
    </row>
    <row r="186" spans="1:17" ht="12.75" customHeight="1" hidden="1">
      <c r="A186" s="31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</row>
    <row r="187" spans="1:17" ht="12.75" customHeight="1" hidden="1">
      <c r="A187" s="31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</row>
    <row r="189" spans="1:18" ht="15" customHeight="1">
      <c r="A189" s="37" t="s">
        <v>142</v>
      </c>
      <c r="B189" s="38" t="s">
        <v>143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ht="13.5" customHeight="1">
      <c r="A190" s="1" t="s">
        <v>144</v>
      </c>
    </row>
    <row r="191" ht="14.25" customHeight="1">
      <c r="A191" s="1" t="s">
        <v>145</v>
      </c>
    </row>
    <row r="193" ht="15">
      <c r="B193" s="1" t="s">
        <v>146</v>
      </c>
    </row>
    <row r="195" spans="1:18" ht="61.5" customHeight="1">
      <c r="A195" s="245" t="s">
        <v>147</v>
      </c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40"/>
    </row>
    <row r="198" ht="15">
      <c r="B198" s="1" t="s">
        <v>148</v>
      </c>
    </row>
    <row r="200" spans="1:17" ht="15">
      <c r="A200" s="233">
        <f>ROUND(P85/P67,2)</f>
        <v>35805.88</v>
      </c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</row>
    <row r="203" ht="15">
      <c r="B203" s="1" t="s">
        <v>149</v>
      </c>
    </row>
    <row r="205" spans="1:17" ht="30.75" customHeight="1">
      <c r="A205" s="245" t="s">
        <v>150</v>
      </c>
      <c r="B205" s="245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8" ht="15">
      <c r="B208" s="1" t="s">
        <v>151</v>
      </c>
    </row>
    <row r="209" ht="9" customHeight="1"/>
    <row r="210" spans="1:17" ht="86.25" customHeight="1">
      <c r="A210" s="220" t="s">
        <v>152</v>
      </c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</row>
    <row r="211" spans="1:17" ht="1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15">
      <c r="A212" s="41"/>
      <c r="B212" s="41" t="s">
        <v>153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 ht="1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 ht="35.25" customHeight="1">
      <c r="A214" s="246" t="s">
        <v>154</v>
      </c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1:17" ht="15">
      <c r="A215" s="42" t="s">
        <v>155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4"/>
    </row>
    <row r="216" spans="1:17" ht="24.75" customHeight="1">
      <c r="A216" s="242" t="s">
        <v>156</v>
      </c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</row>
    <row r="217" spans="1:17" ht="15">
      <c r="A217" s="243" t="s">
        <v>157</v>
      </c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</row>
    <row r="218" spans="1:17" ht="15">
      <c r="A218" s="45" t="s">
        <v>158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7"/>
    </row>
    <row r="219" spans="1:17" ht="15">
      <c r="A219" s="48" t="s">
        <v>159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50"/>
    </row>
    <row r="221" spans="2:14" ht="15">
      <c r="B221" s="205" t="s">
        <v>160</v>
      </c>
      <c r="C221" s="205"/>
      <c r="D221" s="205"/>
      <c r="E221" s="205"/>
      <c r="I221" s="49"/>
      <c r="J221" s="49"/>
      <c r="K221" s="244" t="s">
        <v>161</v>
      </c>
      <c r="L221" s="244"/>
      <c r="M221" s="244"/>
      <c r="N221" s="1" t="s">
        <v>162</v>
      </c>
    </row>
    <row r="223" spans="2:8" ht="15">
      <c r="B223" s="1" t="s">
        <v>163</v>
      </c>
      <c r="C223" s="49"/>
      <c r="E223" s="51" t="s">
        <v>164</v>
      </c>
      <c r="F223" s="49"/>
      <c r="G223" s="49"/>
      <c r="H223" s="49"/>
    </row>
    <row r="225" spans="2:14" ht="15.75" customHeight="1">
      <c r="B225" s="215" t="s">
        <v>165</v>
      </c>
      <c r="C225" s="215"/>
      <c r="D225" s="215"/>
      <c r="E225" s="215"/>
      <c r="I225" s="49"/>
      <c r="J225" s="49"/>
      <c r="K225" s="244" t="s">
        <v>166</v>
      </c>
      <c r="L225" s="244"/>
      <c r="M225" s="244"/>
      <c r="N225" s="1" t="s">
        <v>162</v>
      </c>
    </row>
    <row r="226" spans="2:8" ht="15">
      <c r="B226" s="1" t="s">
        <v>163</v>
      </c>
      <c r="C226" s="52"/>
      <c r="E226" s="51" t="s">
        <v>164</v>
      </c>
      <c r="F226" s="49"/>
      <c r="G226" s="49"/>
      <c r="H226" s="49"/>
    </row>
  </sheetData>
  <sheetProtection/>
  <mergeCells count="236">
    <mergeCell ref="A217:Q217"/>
    <mergeCell ref="B221:E221"/>
    <mergeCell ref="K221:M221"/>
    <mergeCell ref="B225:E225"/>
    <mergeCell ref="K225:M225"/>
    <mergeCell ref="A195:Q195"/>
    <mergeCell ref="A200:Q200"/>
    <mergeCell ref="A205:Q205"/>
    <mergeCell ref="A210:Q210"/>
    <mergeCell ref="A214:Q214"/>
    <mergeCell ref="A216:Q216"/>
    <mergeCell ref="B186:D186"/>
    <mergeCell ref="E186:H186"/>
    <mergeCell ref="I186:M186"/>
    <mergeCell ref="N186:Q186"/>
    <mergeCell ref="B187:D187"/>
    <mergeCell ref="E187:H187"/>
    <mergeCell ref="I187:M187"/>
    <mergeCell ref="N187:Q187"/>
    <mergeCell ref="A179:R179"/>
    <mergeCell ref="B184:D184"/>
    <mergeCell ref="E184:H184"/>
    <mergeCell ref="I184:M184"/>
    <mergeCell ref="N184:Q184"/>
    <mergeCell ref="B185:D185"/>
    <mergeCell ref="E185:H185"/>
    <mergeCell ref="I185:M185"/>
    <mergeCell ref="N185:Q185"/>
    <mergeCell ref="B174:D174"/>
    <mergeCell ref="E174:H174"/>
    <mergeCell ref="I174:M174"/>
    <mergeCell ref="N174:Q174"/>
    <mergeCell ref="B175:D175"/>
    <mergeCell ref="E175:H175"/>
    <mergeCell ref="I175:M175"/>
    <mergeCell ref="N175:Q175"/>
    <mergeCell ref="B172:D172"/>
    <mergeCell ref="E172:H172"/>
    <mergeCell ref="I172:M172"/>
    <mergeCell ref="N172:Q172"/>
    <mergeCell ref="B173:D173"/>
    <mergeCell ref="E173:H173"/>
    <mergeCell ref="I173:M173"/>
    <mergeCell ref="N173:Q173"/>
    <mergeCell ref="N163:O163"/>
    <mergeCell ref="A166:R166"/>
    <mergeCell ref="B171:D171"/>
    <mergeCell ref="E171:H171"/>
    <mergeCell ref="I171:M171"/>
    <mergeCell ref="N171:Q171"/>
    <mergeCell ref="B163:C163"/>
    <mergeCell ref="D163:E163"/>
    <mergeCell ref="F163:G163"/>
    <mergeCell ref="H163:I163"/>
    <mergeCell ref="J163:K163"/>
    <mergeCell ref="L163:M163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1:C161"/>
    <mergeCell ref="D161:E161"/>
    <mergeCell ref="F161:G161"/>
    <mergeCell ref="H161:I161"/>
    <mergeCell ref="J161:K161"/>
    <mergeCell ref="L161:M161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B159:C159"/>
    <mergeCell ref="D159:E159"/>
    <mergeCell ref="F159:G159"/>
    <mergeCell ref="H159:I159"/>
    <mergeCell ref="J159:K159"/>
    <mergeCell ref="L159:M159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7:C157"/>
    <mergeCell ref="D157:E157"/>
    <mergeCell ref="F157:G157"/>
    <mergeCell ref="H157:I157"/>
    <mergeCell ref="J157:K157"/>
    <mergeCell ref="L157:M157"/>
    <mergeCell ref="A156:E156"/>
    <mergeCell ref="F156:G156"/>
    <mergeCell ref="H156:I156"/>
    <mergeCell ref="J156:K156"/>
    <mergeCell ref="L156:M156"/>
    <mergeCell ref="N156:O156"/>
    <mergeCell ref="A144:C144"/>
    <mergeCell ref="P144:Q144"/>
    <mergeCell ref="A145:C145"/>
    <mergeCell ref="P145:Q145"/>
    <mergeCell ref="B155:C155"/>
    <mergeCell ref="D155:E155"/>
    <mergeCell ref="F155:M155"/>
    <mergeCell ref="N155:R155"/>
    <mergeCell ref="A146:C146"/>
    <mergeCell ref="P146:Q146"/>
    <mergeCell ref="A141:C141"/>
    <mergeCell ref="P141:Q141"/>
    <mergeCell ref="A142:C142"/>
    <mergeCell ref="P142:Q142"/>
    <mergeCell ref="A143:C143"/>
    <mergeCell ref="P143:Q143"/>
    <mergeCell ref="A138:C138"/>
    <mergeCell ref="P138:Q138"/>
    <mergeCell ref="A139:C139"/>
    <mergeCell ref="P139:Q139"/>
    <mergeCell ref="A140:C140"/>
    <mergeCell ref="P140:Q140"/>
    <mergeCell ref="A135:C135"/>
    <mergeCell ref="P135:Q135"/>
    <mergeCell ref="A136:C136"/>
    <mergeCell ref="P136:Q136"/>
    <mergeCell ref="A137:C137"/>
    <mergeCell ref="P137:Q137"/>
    <mergeCell ref="A132:C132"/>
    <mergeCell ref="P132:Q132"/>
    <mergeCell ref="A133:C133"/>
    <mergeCell ref="P133:Q133"/>
    <mergeCell ref="A134:C134"/>
    <mergeCell ref="P134:Q134"/>
    <mergeCell ref="A129:C129"/>
    <mergeCell ref="P129:Q129"/>
    <mergeCell ref="A130:C130"/>
    <mergeCell ref="P130:Q130"/>
    <mergeCell ref="A131:C131"/>
    <mergeCell ref="P131:Q131"/>
    <mergeCell ref="A118:C118"/>
    <mergeCell ref="P118:Q118"/>
    <mergeCell ref="A119:C119"/>
    <mergeCell ref="P119:Q119"/>
    <mergeCell ref="A127:C128"/>
    <mergeCell ref="D127:O127"/>
    <mergeCell ref="P127:Q128"/>
    <mergeCell ref="A105:B106"/>
    <mergeCell ref="P105:Q105"/>
    <mergeCell ref="P106:Q106"/>
    <mergeCell ref="A107:B107"/>
    <mergeCell ref="P107:Q107"/>
    <mergeCell ref="A116:C117"/>
    <mergeCell ref="D116:O116"/>
    <mergeCell ref="P116:Q117"/>
    <mergeCell ref="A101:B102"/>
    <mergeCell ref="P101:Q101"/>
    <mergeCell ref="P102:Q102"/>
    <mergeCell ref="A103:B104"/>
    <mergeCell ref="P103:Q103"/>
    <mergeCell ref="P104:Q104"/>
    <mergeCell ref="A97:B98"/>
    <mergeCell ref="P97:Q97"/>
    <mergeCell ref="P98:Q98"/>
    <mergeCell ref="A99:B100"/>
    <mergeCell ref="P99:Q99"/>
    <mergeCell ref="P100:Q100"/>
    <mergeCell ref="A85:C85"/>
    <mergeCell ref="P85:Q85"/>
    <mergeCell ref="A95:B96"/>
    <mergeCell ref="C95:C96"/>
    <mergeCell ref="D95:O95"/>
    <mergeCell ref="P95:Q96"/>
    <mergeCell ref="A70:C70"/>
    <mergeCell ref="P70:Q70"/>
    <mergeCell ref="A76:R76"/>
    <mergeCell ref="A83:C84"/>
    <mergeCell ref="D83:O83"/>
    <mergeCell ref="P83:Q84"/>
    <mergeCell ref="A67:C67"/>
    <mergeCell ref="P67:Q67"/>
    <mergeCell ref="A68:C68"/>
    <mergeCell ref="P68:Q68"/>
    <mergeCell ref="A69:C69"/>
    <mergeCell ref="P69:Q69"/>
    <mergeCell ref="L40:M61"/>
    <mergeCell ref="N40:O61"/>
    <mergeCell ref="P40:P61"/>
    <mergeCell ref="Q40:Q61"/>
    <mergeCell ref="R40:R61"/>
    <mergeCell ref="A65:C66"/>
    <mergeCell ref="D65:O65"/>
    <mergeCell ref="P65:Q66"/>
    <mergeCell ref="A40:B61"/>
    <mergeCell ref="C40:C61"/>
    <mergeCell ref="Q22:R32"/>
    <mergeCell ref="D40:E61"/>
    <mergeCell ref="F40:G61"/>
    <mergeCell ref="H40:I61"/>
    <mergeCell ref="J40:K61"/>
    <mergeCell ref="P38:R38"/>
    <mergeCell ref="D39:E39"/>
    <mergeCell ref="F39:G39"/>
    <mergeCell ref="H39:I39"/>
    <mergeCell ref="J39:K39"/>
    <mergeCell ref="F22:G32"/>
    <mergeCell ref="N39:O39"/>
    <mergeCell ref="J22:K32"/>
    <mergeCell ref="L22:M32"/>
    <mergeCell ref="N22:O32"/>
    <mergeCell ref="P22:P32"/>
    <mergeCell ref="L39:M39"/>
    <mergeCell ref="N21:O21"/>
    <mergeCell ref="A37:B39"/>
    <mergeCell ref="C37:C39"/>
    <mergeCell ref="D37:R37"/>
    <mergeCell ref="D38:I38"/>
    <mergeCell ref="J38:O38"/>
    <mergeCell ref="A22:A32"/>
    <mergeCell ref="B22:B32"/>
    <mergeCell ref="C22:C32"/>
    <mergeCell ref="D22:E32"/>
    <mergeCell ref="Q21:R21"/>
    <mergeCell ref="H22:I32"/>
    <mergeCell ref="A12:R12"/>
    <mergeCell ref="A13:R13"/>
    <mergeCell ref="A14:R14"/>
    <mergeCell ref="D21:E21"/>
    <mergeCell ref="F21:G21"/>
    <mergeCell ref="H21:I21"/>
    <mergeCell ref="J21:K21"/>
    <mergeCell ref="L21:M21"/>
  </mergeCells>
  <printOptions/>
  <pageMargins left="0" right="0" top="0" bottom="0" header="0.5118055555555555" footer="0.5118055555555555"/>
  <pageSetup horizontalDpi="300" verticalDpi="300" orientation="landscape" paperSize="9" scale="55" r:id="rId1"/>
  <rowBreaks count="6" manualBreakCount="6">
    <brk id="33" max="255" man="1"/>
    <brk id="62" max="255" man="1"/>
    <brk id="89" max="255" man="1"/>
    <brk id="112" max="255" man="1"/>
    <brk id="146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workbookViewId="0" topLeftCell="J1">
      <selection activeCell="P57" sqref="P57"/>
    </sheetView>
  </sheetViews>
  <sheetFormatPr defaultColWidth="9.140625" defaultRowHeight="15"/>
  <cols>
    <col min="1" max="1" width="28.140625" style="0" customWidth="1"/>
    <col min="2" max="2" width="22.57421875" style="0" customWidth="1"/>
    <col min="3" max="4" width="13.421875" style="0" customWidth="1"/>
    <col min="5" max="5" width="18.8515625" style="0" customWidth="1"/>
    <col min="6" max="6" width="13.00390625" style="53" customWidth="1"/>
    <col min="7" max="7" width="12.421875" style="0" customWidth="1"/>
    <col min="8" max="8" width="12.7109375" style="0" customWidth="1"/>
    <col min="9" max="9" width="13.28125" style="0" customWidth="1"/>
    <col min="10" max="10" width="13.8515625" style="53" customWidth="1"/>
    <col min="11" max="11" width="12.8515625" style="0" customWidth="1"/>
    <col min="12" max="12" width="15.00390625" style="0" customWidth="1"/>
    <col min="13" max="13" width="14.140625" style="0" customWidth="1"/>
    <col min="14" max="14" width="14.00390625" style="53" customWidth="1"/>
    <col min="15" max="15" width="15.57421875" style="0" customWidth="1"/>
    <col min="16" max="16" width="12.00390625" style="0" customWidth="1"/>
    <col min="17" max="17" width="13.28125" style="0" customWidth="1"/>
    <col min="18" max="18" width="12.57421875" style="53" customWidth="1"/>
    <col min="19" max="19" width="15.140625" style="54" customWidth="1"/>
    <col min="20" max="21" width="14.8515625" style="0" customWidth="1"/>
    <col min="22" max="22" width="12.140625" style="0" customWidth="1"/>
  </cols>
  <sheetData>
    <row r="1" spans="1:19" s="55" customFormat="1" ht="1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s="55" customFormat="1" ht="15">
      <c r="A2" s="56"/>
      <c r="B2" s="248" t="s">
        <v>168</v>
      </c>
      <c r="C2" s="248" t="s">
        <v>169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57"/>
    </row>
    <row r="3" spans="1:19" s="55" customFormat="1" ht="15">
      <c r="A3" s="56"/>
      <c r="B3" s="248"/>
      <c r="C3" s="56">
        <v>1</v>
      </c>
      <c r="D3" s="56">
        <v>2</v>
      </c>
      <c r="E3" s="56">
        <v>3</v>
      </c>
      <c r="F3" s="58" t="s">
        <v>170</v>
      </c>
      <c r="G3" s="56">
        <v>4</v>
      </c>
      <c r="H3" s="56">
        <v>5</v>
      </c>
      <c r="I3" s="56">
        <v>6</v>
      </c>
      <c r="J3" s="58" t="s">
        <v>171</v>
      </c>
      <c r="K3" s="56">
        <v>7</v>
      </c>
      <c r="L3" s="56">
        <v>8</v>
      </c>
      <c r="M3" s="56">
        <v>9</v>
      </c>
      <c r="N3" s="58" t="s">
        <v>172</v>
      </c>
      <c r="O3" s="56">
        <v>10</v>
      </c>
      <c r="P3" s="56">
        <v>11</v>
      </c>
      <c r="Q3" s="56">
        <v>12</v>
      </c>
      <c r="R3" s="58" t="s">
        <v>173</v>
      </c>
      <c r="S3" s="59"/>
    </row>
    <row r="4" spans="1:20" s="55" customFormat="1" ht="15">
      <c r="A4" s="56"/>
      <c r="B4" s="60"/>
      <c r="C4" s="56"/>
      <c r="D4" s="56"/>
      <c r="E4" s="56">
        <f>F4-F6</f>
        <v>-70739</v>
      </c>
      <c r="F4" s="58">
        <v>2349161</v>
      </c>
      <c r="G4" s="56"/>
      <c r="H4" s="56"/>
      <c r="I4" s="56">
        <f>J4-J6</f>
        <v>-39453.5</v>
      </c>
      <c r="J4" s="58">
        <f>3915268+141820</f>
        <v>4057088</v>
      </c>
      <c r="K4" s="56"/>
      <c r="L4" s="56"/>
      <c r="M4" s="56">
        <f>N4-N6</f>
        <v>-52284.659999999916</v>
      </c>
      <c r="N4" s="58">
        <f>1957634+70910</f>
        <v>2028544</v>
      </c>
      <c r="O4" s="56"/>
      <c r="P4" s="56"/>
      <c r="Q4" s="56">
        <f>R4-R6</f>
        <v>-482545.1799999997</v>
      </c>
      <c r="R4" s="58">
        <f>3804974+137969</f>
        <v>3942943</v>
      </c>
      <c r="S4" s="59">
        <v>10194338.7</v>
      </c>
      <c r="T4" s="61">
        <f>S6-S4</f>
        <v>2828419.6400000006</v>
      </c>
    </row>
    <row r="5" spans="1:19" s="64" customFormat="1" ht="15">
      <c r="A5" s="62"/>
      <c r="B5" s="63"/>
      <c r="C5" s="62">
        <f aca="true" t="shared" si="0" ref="C5:S5">C6+C11+C39+C40</f>
        <v>343851</v>
      </c>
      <c r="D5" s="62">
        <f t="shared" si="0"/>
        <v>1320600</v>
      </c>
      <c r="E5" s="62">
        <f t="shared" si="0"/>
        <v>1382449</v>
      </c>
      <c r="F5" s="62">
        <f t="shared" si="0"/>
        <v>3046900</v>
      </c>
      <c r="G5" s="62">
        <f t="shared" si="0"/>
        <v>2235464</v>
      </c>
      <c r="H5" s="62">
        <f t="shared" si="0"/>
        <v>2000876</v>
      </c>
      <c r="I5" s="62">
        <f t="shared" si="0"/>
        <v>1182860</v>
      </c>
      <c r="J5" s="62">
        <f t="shared" si="0"/>
        <v>5419200</v>
      </c>
      <c r="K5" s="62">
        <f t="shared" si="0"/>
        <v>637183</v>
      </c>
      <c r="L5" s="62">
        <f t="shared" si="0"/>
        <v>1520352.0599999998</v>
      </c>
      <c r="M5" s="62">
        <f t="shared" si="0"/>
        <v>551738.8</v>
      </c>
      <c r="N5" s="62">
        <f t="shared" si="0"/>
        <v>2709273.86</v>
      </c>
      <c r="O5" s="62">
        <f t="shared" si="0"/>
        <v>1333654.02</v>
      </c>
      <c r="P5" s="62">
        <f t="shared" si="0"/>
        <v>3211165.3500000006</v>
      </c>
      <c r="Q5" s="62">
        <f t="shared" si="0"/>
        <v>1271506.77</v>
      </c>
      <c r="R5" s="62">
        <f t="shared" si="0"/>
        <v>5816326.14</v>
      </c>
      <c r="S5" s="62">
        <f t="shared" si="0"/>
        <v>16991700</v>
      </c>
    </row>
    <row r="6" spans="1:19" s="68" customFormat="1" ht="15">
      <c r="A6" s="65" t="s">
        <v>174</v>
      </c>
      <c r="B6" s="66"/>
      <c r="C6" s="65">
        <f>C7+C8</f>
        <v>343851</v>
      </c>
      <c r="D6" s="65">
        <f aca="true" t="shared" si="1" ref="D6:S6">D7+D8</f>
        <v>1014286</v>
      </c>
      <c r="E6" s="65">
        <f t="shared" si="1"/>
        <v>1061763</v>
      </c>
      <c r="F6" s="65">
        <f t="shared" si="1"/>
        <v>2419900</v>
      </c>
      <c r="G6" s="65">
        <f t="shared" si="1"/>
        <v>1716946</v>
      </c>
      <c r="H6" s="65">
        <f t="shared" si="1"/>
        <v>1420511.5</v>
      </c>
      <c r="I6" s="65">
        <f t="shared" si="1"/>
        <v>959084</v>
      </c>
      <c r="J6" s="65">
        <f t="shared" si="1"/>
        <v>4096541.5</v>
      </c>
      <c r="K6" s="65">
        <f t="shared" si="1"/>
        <v>489388</v>
      </c>
      <c r="L6" s="65">
        <f t="shared" si="1"/>
        <v>1167705.8599999999</v>
      </c>
      <c r="M6" s="65">
        <f t="shared" si="1"/>
        <v>423734.8</v>
      </c>
      <c r="N6" s="65">
        <f t="shared" si="1"/>
        <v>2080828.66</v>
      </c>
      <c r="O6" s="65">
        <f>O8+O7</f>
        <v>1083920.69</v>
      </c>
      <c r="P6" s="65">
        <f>P8+P7</f>
        <v>2383412.6500000004</v>
      </c>
      <c r="Q6" s="65">
        <f>Q8+Q7</f>
        <v>958154.84</v>
      </c>
      <c r="R6" s="65">
        <f>R8+R7</f>
        <v>4425488.18</v>
      </c>
      <c r="S6" s="67">
        <f t="shared" si="1"/>
        <v>13022758.34</v>
      </c>
    </row>
    <row r="7" spans="1:21" s="75" customFormat="1" ht="56.25">
      <c r="A7" s="69" t="s">
        <v>175</v>
      </c>
      <c r="B7" s="70">
        <v>211</v>
      </c>
      <c r="C7" s="71">
        <f>297264-47675</f>
        <v>249589</v>
      </c>
      <c r="D7" s="71">
        <f>741316+47675+37142-47503.14</f>
        <v>778629.86</v>
      </c>
      <c r="E7" s="71">
        <f>741316+3691+0.15</f>
        <v>745007.15</v>
      </c>
      <c r="F7" s="72">
        <f>SUM(C7:E7)</f>
        <v>1773226.01</v>
      </c>
      <c r="G7" s="71">
        <f>741316+35455</f>
        <v>776771</v>
      </c>
      <c r="H7" s="71">
        <f>741316+35455-0.37</f>
        <v>776770.63</v>
      </c>
      <c r="I7" s="71">
        <f>741316-17887.1</f>
        <v>723428.9</v>
      </c>
      <c r="J7" s="73">
        <f>SUM(G7:I7)</f>
        <v>2276970.53</v>
      </c>
      <c r="K7" s="71">
        <f>375006+14182</f>
        <v>389188</v>
      </c>
      <c r="L7" s="71">
        <v>1012249.86</v>
      </c>
      <c r="M7" s="71">
        <v>220832.77</v>
      </c>
      <c r="N7" s="73">
        <f>SUM(K7:M7)</f>
        <v>1622270.63</v>
      </c>
      <c r="O7" s="71">
        <v>853195.08</v>
      </c>
      <c r="P7" s="71">
        <v>1453195.09</v>
      </c>
      <c r="Q7" s="71">
        <v>512599.92</v>
      </c>
      <c r="R7" s="73">
        <f>SUM(O7:Q7)</f>
        <v>2818990.09</v>
      </c>
      <c r="S7" s="74">
        <f>R7+N7+J7+F7</f>
        <v>8491457.26</v>
      </c>
      <c r="T7" s="76">
        <f>'[1]норматив'!$F$24</f>
        <v>8491457.26</v>
      </c>
      <c r="U7" s="76">
        <f>T7-S7</f>
        <v>0</v>
      </c>
    </row>
    <row r="8" spans="1:21" s="53" customFormat="1" ht="66.75">
      <c r="A8" s="77" t="s">
        <v>176</v>
      </c>
      <c r="B8" s="78">
        <v>211</v>
      </c>
      <c r="C8" s="58">
        <v>94262</v>
      </c>
      <c r="D8" s="58">
        <f>235656+0.14</f>
        <v>235656.14</v>
      </c>
      <c r="E8" s="58">
        <f>235656+81099.85</f>
        <v>316755.85</v>
      </c>
      <c r="F8" s="78">
        <f>SUM(C8:E8)</f>
        <v>646673.99</v>
      </c>
      <c r="G8" s="58">
        <f>235656+704519</f>
        <v>940175</v>
      </c>
      <c r="H8" s="58">
        <f>235656+408084.87</f>
        <v>643740.87</v>
      </c>
      <c r="I8" s="58">
        <f>235656-0.9</f>
        <v>235655.1</v>
      </c>
      <c r="J8" s="78">
        <f>SUM(G8:I8)</f>
        <v>1819570.9700000002</v>
      </c>
      <c r="K8" s="58">
        <v>100200</v>
      </c>
      <c r="L8" s="58">
        <v>155456</v>
      </c>
      <c r="M8" s="58">
        <v>202902.03</v>
      </c>
      <c r="N8" s="78">
        <f>SUM(K8:M8)</f>
        <v>458558.03</v>
      </c>
      <c r="O8" s="58">
        <v>230725.61</v>
      </c>
      <c r="P8" s="58">
        <v>930217.56</v>
      </c>
      <c r="Q8" s="58">
        <v>445554.92</v>
      </c>
      <c r="R8" s="78">
        <f>SUM(O8:Q8)</f>
        <v>1606498.0899999999</v>
      </c>
      <c r="S8" s="79">
        <f>R8+N8+J8+F8</f>
        <v>4531301.08</v>
      </c>
      <c r="T8" s="80">
        <f>'[1]норматив'!$F$38</f>
        <v>4531301.08</v>
      </c>
      <c r="U8" s="80">
        <f>T8-S8</f>
        <v>0</v>
      </c>
    </row>
    <row r="9" spans="1:21" s="53" customFormat="1" ht="66.75">
      <c r="A9" s="77" t="s">
        <v>176</v>
      </c>
      <c r="B9" s="78">
        <v>213</v>
      </c>
      <c r="C9" s="58"/>
      <c r="D9" s="58">
        <f>ROUND(D8*30.2%,0)</f>
        <v>71168</v>
      </c>
      <c r="E9" s="58">
        <f>ROUND(E8*30.2%,0)</f>
        <v>95660</v>
      </c>
      <c r="F9" s="78">
        <f>SUM(C9:E9)</f>
        <v>166828</v>
      </c>
      <c r="G9" s="58">
        <f>ROUND(G8*30.2%,0)</f>
        <v>283933</v>
      </c>
      <c r="H9" s="58">
        <f>ROUND(H8*30.2%,0)+51369.5</f>
        <v>245779.5</v>
      </c>
      <c r="I9" s="58">
        <f>ROUND(I8*30.2%,0)</f>
        <v>71168</v>
      </c>
      <c r="J9" s="78">
        <f>SUM(G9:I9)</f>
        <v>600880.5</v>
      </c>
      <c r="K9" s="58">
        <f>ROUND(K8*30.2%,0)</f>
        <v>30260</v>
      </c>
      <c r="L9" s="58">
        <f>ROUND(L8*30.2%,0)-1</f>
        <v>46947</v>
      </c>
      <c r="M9" s="58">
        <f>ROUND(M8*30.2%,0)+1</f>
        <v>61277</v>
      </c>
      <c r="N9" s="78">
        <f>SUM(K9:M9)</f>
        <v>138484</v>
      </c>
      <c r="O9" s="58">
        <v>135902.5</v>
      </c>
      <c r="P9" s="58">
        <v>240623.91</v>
      </c>
      <c r="Q9" s="58">
        <v>64753.15</v>
      </c>
      <c r="R9" s="78">
        <f>SUM(O9:Q9)</f>
        <v>441279.56000000006</v>
      </c>
      <c r="S9" s="79">
        <f>R9+N9+J9+F9</f>
        <v>1347472.06</v>
      </c>
      <c r="T9" s="80">
        <f>'[1]норматив'!$F$40</f>
        <v>1347472.06</v>
      </c>
      <c r="U9" s="80">
        <f>T9-S9</f>
        <v>0</v>
      </c>
    </row>
    <row r="10" spans="1:21" s="87" customFormat="1" ht="56.25">
      <c r="A10" s="81" t="s">
        <v>175</v>
      </c>
      <c r="B10" s="82">
        <v>213</v>
      </c>
      <c r="C10" s="83"/>
      <c r="D10" s="83">
        <f>ROUND(D7*30.2%,0)</f>
        <v>235146</v>
      </c>
      <c r="E10" s="83">
        <f>ROUND(E7*30.2%,0)+34</f>
        <v>225026</v>
      </c>
      <c r="F10" s="72">
        <f>SUM(C10:E10)</f>
        <v>460172</v>
      </c>
      <c r="G10" s="83">
        <f>ROUND(G7*30.2%,0)</f>
        <v>234585</v>
      </c>
      <c r="H10" s="83">
        <f>ROUND(H7*30.2%,0)+100000</f>
        <v>334585</v>
      </c>
      <c r="I10" s="83">
        <f>ROUND(I7*30.2%,0)+100000-302768</f>
        <v>15708</v>
      </c>
      <c r="J10" s="72">
        <f>SUM(G10:I10)</f>
        <v>584878</v>
      </c>
      <c r="K10" s="83">
        <f>ROUND(K7*30.2%,0)</f>
        <v>117535</v>
      </c>
      <c r="L10" s="83">
        <f>ROUND(L7*30.2%,0)-0.8+1</f>
        <v>305699.2</v>
      </c>
      <c r="M10" s="83">
        <f>ROUND(M7*30.2%,0)+61-4317+4292</f>
        <v>66727</v>
      </c>
      <c r="N10" s="72">
        <f>SUM(K10:M10)</f>
        <v>489961.2</v>
      </c>
      <c r="O10" s="83">
        <v>113830.83</v>
      </c>
      <c r="P10" s="83">
        <v>442606.79</v>
      </c>
      <c r="Q10" s="83">
        <v>248598.78</v>
      </c>
      <c r="R10" s="72">
        <f>O10+P10+Q10</f>
        <v>805036.4</v>
      </c>
      <c r="S10" s="84">
        <f>R10+N10+J10+F10</f>
        <v>2340047.6</v>
      </c>
      <c r="T10" s="86">
        <f>'[1]норматив'!$F$26</f>
        <v>2340047.6</v>
      </c>
      <c r="U10" s="86">
        <f>T10-S10</f>
        <v>0</v>
      </c>
    </row>
    <row r="11" spans="1:19" s="91" customFormat="1" ht="15">
      <c r="A11" s="88" t="s">
        <v>174</v>
      </c>
      <c r="B11" s="89"/>
      <c r="C11" s="89">
        <f>C10+C9</f>
        <v>0</v>
      </c>
      <c r="D11" s="89">
        <f aca="true" t="shared" si="2" ref="D11:S11">D10+D9</f>
        <v>306314</v>
      </c>
      <c r="E11" s="89">
        <f t="shared" si="2"/>
        <v>320686</v>
      </c>
      <c r="F11" s="89">
        <f t="shared" si="2"/>
        <v>627000</v>
      </c>
      <c r="G11" s="89">
        <f t="shared" si="2"/>
        <v>518518</v>
      </c>
      <c r="H11" s="89">
        <f t="shared" si="2"/>
        <v>580364.5</v>
      </c>
      <c r="I11" s="89">
        <f t="shared" si="2"/>
        <v>86876</v>
      </c>
      <c r="J11" s="89">
        <f t="shared" si="2"/>
        <v>1185758.5</v>
      </c>
      <c r="K11" s="89">
        <f t="shared" si="2"/>
        <v>147795</v>
      </c>
      <c r="L11" s="89">
        <f t="shared" si="2"/>
        <v>352646.2</v>
      </c>
      <c r="M11" s="89">
        <f t="shared" si="2"/>
        <v>128004</v>
      </c>
      <c r="N11" s="89">
        <f t="shared" si="2"/>
        <v>628445.2</v>
      </c>
      <c r="O11" s="89">
        <f t="shared" si="2"/>
        <v>249733.33000000002</v>
      </c>
      <c r="P11" s="89">
        <f t="shared" si="2"/>
        <v>683230.7</v>
      </c>
      <c r="Q11" s="89">
        <f t="shared" si="2"/>
        <v>313351.93</v>
      </c>
      <c r="R11" s="89">
        <f t="shared" si="2"/>
        <v>1246315.96</v>
      </c>
      <c r="S11" s="90">
        <f t="shared" si="2"/>
        <v>3687519.66</v>
      </c>
    </row>
    <row r="12" spans="1:20" s="95" customFormat="1" ht="15">
      <c r="A12" s="92"/>
      <c r="B12" s="93"/>
      <c r="C12" s="93"/>
      <c r="D12" s="93"/>
      <c r="E12" s="93">
        <f>F12-F13</f>
        <v>-239045.99999999953</v>
      </c>
      <c r="F12" s="93">
        <v>2828070</v>
      </c>
      <c r="G12" s="93"/>
      <c r="H12" s="93"/>
      <c r="I12" s="93">
        <f>J12-J13</f>
        <v>1434775.9999999995</v>
      </c>
      <c r="J12" s="93">
        <v>5263770</v>
      </c>
      <c r="K12" s="93"/>
      <c r="L12" s="93"/>
      <c r="M12" s="93">
        <f>N14-N12</f>
        <v>-0.2099999999627471</v>
      </c>
      <c r="N12" s="93">
        <v>1876097</v>
      </c>
      <c r="O12" s="93"/>
      <c r="P12" s="93"/>
      <c r="Q12" s="93">
        <f>R12-R13</f>
        <v>-341486.86000000034</v>
      </c>
      <c r="R12" s="93">
        <v>3827411</v>
      </c>
      <c r="S12" s="94">
        <f>R12+N12+J12+F12</f>
        <v>13795348</v>
      </c>
      <c r="T12" s="95">
        <f>S12-S13</f>
        <v>-292452</v>
      </c>
    </row>
    <row r="13" spans="1:19" s="97" customFormat="1" ht="15">
      <c r="A13" s="96"/>
      <c r="B13" s="94"/>
      <c r="C13" s="94">
        <f aca="true" t="shared" si="3" ref="C13:S13">C14+C19+C20+C21+C22+C23+C24+C32+C38+C52</f>
        <v>401414</v>
      </c>
      <c r="D13" s="94">
        <f t="shared" si="3"/>
        <v>1119466.0000000002</v>
      </c>
      <c r="E13" s="94">
        <f t="shared" si="3"/>
        <v>1546236.0000000002</v>
      </c>
      <c r="F13" s="94">
        <f t="shared" si="3"/>
        <v>3067115.9999999995</v>
      </c>
      <c r="G13" s="94">
        <f t="shared" si="3"/>
        <v>1103502</v>
      </c>
      <c r="H13" s="94">
        <f t="shared" si="3"/>
        <v>2249634</v>
      </c>
      <c r="I13" s="94">
        <f t="shared" si="3"/>
        <v>475858.00000000006</v>
      </c>
      <c r="J13" s="94">
        <f t="shared" si="3"/>
        <v>3828994.0000000005</v>
      </c>
      <c r="K13" s="94">
        <f t="shared" si="3"/>
        <v>1397869</v>
      </c>
      <c r="L13" s="94">
        <f t="shared" si="3"/>
        <v>915873.43</v>
      </c>
      <c r="M13" s="94">
        <f t="shared" si="3"/>
        <v>709049.7100000001</v>
      </c>
      <c r="N13" s="94">
        <f t="shared" si="3"/>
        <v>3022792.14</v>
      </c>
      <c r="O13" s="94">
        <f t="shared" si="3"/>
        <v>1901878.47</v>
      </c>
      <c r="P13" s="94">
        <f t="shared" si="3"/>
        <v>1177144.11</v>
      </c>
      <c r="Q13" s="94">
        <f t="shared" si="3"/>
        <v>1089875.28</v>
      </c>
      <c r="R13" s="94">
        <f t="shared" si="3"/>
        <v>4168897.8600000003</v>
      </c>
      <c r="S13" s="94">
        <f t="shared" si="3"/>
        <v>14087800</v>
      </c>
    </row>
    <row r="14" spans="1:19" s="68" customFormat="1" ht="15">
      <c r="A14" s="65" t="s">
        <v>177</v>
      </c>
      <c r="B14" s="66"/>
      <c r="C14" s="65">
        <f aca="true" t="shared" si="4" ref="C14:S14">C15+C16</f>
        <v>262679.79000000004</v>
      </c>
      <c r="D14" s="65">
        <f>D15+D16</f>
        <v>663842.78</v>
      </c>
      <c r="E14" s="65">
        <f>E15+E16</f>
        <v>664034.79</v>
      </c>
      <c r="F14" s="65">
        <f t="shared" si="4"/>
        <v>1590557.3599999999</v>
      </c>
      <c r="G14" s="65">
        <f t="shared" si="4"/>
        <v>664034.79</v>
      </c>
      <c r="H14" s="65">
        <f t="shared" si="4"/>
        <v>1483392.78</v>
      </c>
      <c r="I14" s="65">
        <f t="shared" si="4"/>
        <v>279312</v>
      </c>
      <c r="J14" s="65">
        <f t="shared" si="4"/>
        <v>2426739.57</v>
      </c>
      <c r="K14" s="65">
        <f t="shared" si="4"/>
        <v>708611.98</v>
      </c>
      <c r="L14" s="65">
        <f t="shared" si="4"/>
        <v>656699</v>
      </c>
      <c r="M14" s="65">
        <f t="shared" si="4"/>
        <v>510785.81</v>
      </c>
      <c r="N14" s="65">
        <f t="shared" si="4"/>
        <v>1876096.79</v>
      </c>
      <c r="O14" s="65">
        <f t="shared" si="4"/>
        <v>631871.5</v>
      </c>
      <c r="P14" s="65">
        <f t="shared" si="4"/>
        <v>750509.22</v>
      </c>
      <c r="Q14" s="65">
        <f t="shared" si="4"/>
        <v>678854.27</v>
      </c>
      <c r="R14" s="65">
        <f t="shared" si="4"/>
        <v>2061234.9900000002</v>
      </c>
      <c r="S14" s="67">
        <f t="shared" si="4"/>
        <v>7954628.709999999</v>
      </c>
    </row>
    <row r="15" spans="1:21" s="75" customFormat="1" ht="56.25">
      <c r="A15" s="69" t="s">
        <v>175</v>
      </c>
      <c r="B15" s="98"/>
      <c r="C15" s="99">
        <v>37466</v>
      </c>
      <c r="D15" s="99">
        <f>93665.78+0.14</f>
        <v>93665.92</v>
      </c>
      <c r="E15" s="99">
        <f>93665.79+0.13+7334.87</f>
        <v>101000.79</v>
      </c>
      <c r="F15" s="100">
        <f>SUM(C15:E15)</f>
        <v>232132.70999999996</v>
      </c>
      <c r="G15" s="99">
        <f>93665.79+0.13</f>
        <v>93665.92</v>
      </c>
      <c r="H15" s="99">
        <f>93665*2+0.29</f>
        <v>187330.29</v>
      </c>
      <c r="I15" s="99">
        <f>93665.79+0.13</f>
        <v>93665.92</v>
      </c>
      <c r="J15" s="100">
        <f>SUM(G15:I15)</f>
        <v>374662.13</v>
      </c>
      <c r="K15" s="99">
        <v>74932</v>
      </c>
      <c r="L15" s="99">
        <v>93665</v>
      </c>
      <c r="M15" s="99">
        <v>93665</v>
      </c>
      <c r="N15" s="100">
        <f>SUM(K15:M15)</f>
        <v>262262</v>
      </c>
      <c r="O15" s="99">
        <v>93665</v>
      </c>
      <c r="P15" s="99">
        <v>125285</v>
      </c>
      <c r="Q15" s="99">
        <v>137689.1</v>
      </c>
      <c r="R15" s="100">
        <f>SUM(O15:Q15)</f>
        <v>356639.1</v>
      </c>
      <c r="S15" s="101">
        <f>R15+N15+J15+F15</f>
        <v>1225695.94</v>
      </c>
      <c r="T15" s="76">
        <f>'[1]норматив'!$F$17</f>
        <v>1225695.94</v>
      </c>
      <c r="U15" s="76">
        <f>T15-S15</f>
        <v>0</v>
      </c>
    </row>
    <row r="16" spans="1:21" s="53" customFormat="1" ht="66.75">
      <c r="A16" s="77" t="s">
        <v>176</v>
      </c>
      <c r="B16" s="78">
        <v>211</v>
      </c>
      <c r="C16" s="102">
        <v>225213.79</v>
      </c>
      <c r="D16" s="102">
        <f>563034+7142.86</f>
        <v>570176.86</v>
      </c>
      <c r="E16" s="102">
        <f>563034</f>
        <v>563034</v>
      </c>
      <c r="F16" s="78">
        <f>SUM(C16:E16)</f>
        <v>1358424.65</v>
      </c>
      <c r="G16" s="102">
        <f>563034+7334.87</f>
        <v>570368.87</v>
      </c>
      <c r="H16" s="102">
        <f>563034*2+140155.78+29838.71</f>
        <v>1296062.49</v>
      </c>
      <c r="I16" s="102">
        <f>178311.21+7334.87</f>
        <v>185646.08</v>
      </c>
      <c r="J16" s="103">
        <f>SUM(G16:I16)</f>
        <v>2052077.44</v>
      </c>
      <c r="K16" s="102">
        <v>633679.98</v>
      </c>
      <c r="L16" s="102">
        <v>563034</v>
      </c>
      <c r="M16" s="102">
        <v>417120.81</v>
      </c>
      <c r="N16" s="103">
        <f>SUM(K16:M16)</f>
        <v>1613834.79</v>
      </c>
      <c r="O16" s="102">
        <v>538206.5</v>
      </c>
      <c r="P16" s="102">
        <v>625224.22</v>
      </c>
      <c r="Q16" s="102">
        <v>541165.17</v>
      </c>
      <c r="R16" s="103">
        <f>SUM(O16:Q16)</f>
        <v>1704595.8900000001</v>
      </c>
      <c r="S16" s="104">
        <f>R16+N16+J16+F16</f>
        <v>6728932.77</v>
      </c>
      <c r="T16" s="80">
        <f>'[1]норматив'!$F$44</f>
        <v>6728932.77</v>
      </c>
      <c r="U16" s="80">
        <f>T16-S16</f>
        <v>0</v>
      </c>
    </row>
    <row r="17" spans="1:21" s="53" customFormat="1" ht="66.75">
      <c r="A17" s="77" t="s">
        <v>176</v>
      </c>
      <c r="B17" s="78">
        <v>213</v>
      </c>
      <c r="C17" s="58"/>
      <c r="D17" s="58">
        <f>ROUND(D16*30.2%,0)</f>
        <v>172193</v>
      </c>
      <c r="E17" s="58">
        <f>ROUND(E16*30.2%,0)</f>
        <v>170036</v>
      </c>
      <c r="F17" s="78">
        <f>SUM(C17:E17)</f>
        <v>342229</v>
      </c>
      <c r="G17" s="58">
        <f>ROUND(G16*30.2%,0)</f>
        <v>172251</v>
      </c>
      <c r="H17" s="58">
        <f>ROUND(H16*0.302,0)+22754+56573</f>
        <v>470738</v>
      </c>
      <c r="I17" s="58">
        <f>ROUND(I16*0.302,0)-9799.49</f>
        <v>46265.51</v>
      </c>
      <c r="J17" s="78">
        <f>SUM(G17:I17)</f>
        <v>689254.51</v>
      </c>
      <c r="K17" s="195">
        <v>191372</v>
      </c>
      <c r="L17" s="58">
        <f>ROUND(L16*30.2%,0)</f>
        <v>170036</v>
      </c>
      <c r="M17" s="58">
        <f>ROUND(M16*30.2%,0)</f>
        <v>125970</v>
      </c>
      <c r="N17" s="78">
        <f>SUM(K17:M17)</f>
        <v>487378</v>
      </c>
      <c r="O17" s="58">
        <v>170055.47</v>
      </c>
      <c r="P17" s="58">
        <f>ROUND(P16*30.2%,0)</f>
        <v>188818</v>
      </c>
      <c r="Q17" s="58">
        <v>173999.35</v>
      </c>
      <c r="R17" s="78">
        <f>SUM(O17:Q17)</f>
        <v>532872.82</v>
      </c>
      <c r="S17" s="79">
        <f>R17+N17+J17+F17</f>
        <v>2051734.33</v>
      </c>
      <c r="T17" s="80">
        <f>'[1]норматив'!$F$46</f>
        <v>2051734.33</v>
      </c>
      <c r="U17" s="80">
        <f>T17-S17</f>
        <v>0</v>
      </c>
    </row>
    <row r="18" spans="1:21" s="85" customFormat="1" ht="56.25">
      <c r="A18" s="81" t="s">
        <v>175</v>
      </c>
      <c r="B18" s="82"/>
      <c r="C18" s="105"/>
      <c r="D18" s="105">
        <f>ROUND(D15*30.2%,0)</f>
        <v>28287</v>
      </c>
      <c r="E18" s="105">
        <f>ROUND(E15*30.2%,0)</f>
        <v>30502</v>
      </c>
      <c r="F18" s="72">
        <f>SUM(C18:E18)</f>
        <v>58789</v>
      </c>
      <c r="G18" s="83">
        <f>ROUND(G15*30.2%,0)</f>
        <v>28287</v>
      </c>
      <c r="H18" s="83">
        <f>ROUND(H15*30.2%,0)</f>
        <v>56574</v>
      </c>
      <c r="I18" s="83">
        <f>ROUND(I15*30.2%,0)</f>
        <v>28287</v>
      </c>
      <c r="J18" s="72">
        <f>SUM(G18:I18)</f>
        <v>113148</v>
      </c>
      <c r="K18" s="83">
        <f>ROUND(K15*30.2%,0)</f>
        <v>22629</v>
      </c>
      <c r="L18" s="83">
        <f>ROUND(L15*30.2%,0)</f>
        <v>28287</v>
      </c>
      <c r="M18" s="83">
        <f>ROUND(M15*30.2%,0)</f>
        <v>28287</v>
      </c>
      <c r="N18" s="72">
        <f>SUM(K18:M18)</f>
        <v>79203</v>
      </c>
      <c r="O18" s="83">
        <v>39916</v>
      </c>
      <c r="P18" s="83">
        <f>ROUND(P15*30.2%,0)</f>
        <v>37836</v>
      </c>
      <c r="Q18" s="83">
        <v>41268.18</v>
      </c>
      <c r="R18" s="72">
        <f>SUM(O18:Q18)</f>
        <v>119020.18</v>
      </c>
      <c r="S18" s="84">
        <f>R18+N18+J18+F18</f>
        <v>370160.18</v>
      </c>
      <c r="T18" s="86">
        <f>'[1]норматив'!$F$19</f>
        <v>370160.18</v>
      </c>
      <c r="U18" s="86">
        <f>T18-S18</f>
        <v>0</v>
      </c>
    </row>
    <row r="19" spans="1:19" s="91" customFormat="1" ht="15">
      <c r="A19" s="88" t="s">
        <v>177</v>
      </c>
      <c r="B19" s="89"/>
      <c r="C19" s="89">
        <f>C18+C17</f>
        <v>0</v>
      </c>
      <c r="D19" s="89">
        <f aca="true" t="shared" si="5" ref="D19:S19">D18+D17</f>
        <v>200480</v>
      </c>
      <c r="E19" s="89">
        <f t="shared" si="5"/>
        <v>200538</v>
      </c>
      <c r="F19" s="89">
        <f t="shared" si="5"/>
        <v>401018</v>
      </c>
      <c r="G19" s="89">
        <f t="shared" si="5"/>
        <v>200538</v>
      </c>
      <c r="H19" s="89">
        <f t="shared" si="5"/>
        <v>527312</v>
      </c>
      <c r="I19" s="89">
        <f t="shared" si="5"/>
        <v>74552.51000000001</v>
      </c>
      <c r="J19" s="89">
        <f t="shared" si="5"/>
        <v>802402.51</v>
      </c>
      <c r="K19" s="89">
        <f t="shared" si="5"/>
        <v>214001</v>
      </c>
      <c r="L19" s="89">
        <f t="shared" si="5"/>
        <v>198323</v>
      </c>
      <c r="M19" s="89">
        <f t="shared" si="5"/>
        <v>154257</v>
      </c>
      <c r="N19" s="89">
        <f t="shared" si="5"/>
        <v>566581</v>
      </c>
      <c r="O19" s="89">
        <f t="shared" si="5"/>
        <v>209971.47</v>
      </c>
      <c r="P19" s="89">
        <f t="shared" si="5"/>
        <v>226654</v>
      </c>
      <c r="Q19" s="89">
        <f t="shared" si="5"/>
        <v>215267.53</v>
      </c>
      <c r="R19" s="89">
        <f t="shared" si="5"/>
        <v>651893</v>
      </c>
      <c r="S19" s="90">
        <f t="shared" si="5"/>
        <v>2421894.5100000002</v>
      </c>
    </row>
    <row r="20" spans="1:21" s="106" customFormat="1" ht="15">
      <c r="A20" s="77" t="s">
        <v>178</v>
      </c>
      <c r="B20" s="103">
        <v>212</v>
      </c>
      <c r="C20" s="102"/>
      <c r="D20" s="102">
        <v>10300</v>
      </c>
      <c r="E20" s="102">
        <v>10300</v>
      </c>
      <c r="F20" s="78">
        <f aca="true" t="shared" si="6" ref="F20:F40">SUM(C20:E20)</f>
        <v>20600</v>
      </c>
      <c r="G20" s="102">
        <v>10300</v>
      </c>
      <c r="H20" s="102">
        <v>10300</v>
      </c>
      <c r="I20" s="102">
        <v>10300</v>
      </c>
      <c r="J20" s="78">
        <f>SUM(G20:I20)</f>
        <v>30900</v>
      </c>
      <c r="K20" s="102">
        <v>10300</v>
      </c>
      <c r="L20" s="102">
        <v>10300</v>
      </c>
      <c r="M20" s="102">
        <v>10300</v>
      </c>
      <c r="N20" s="78">
        <f>SUM(K20:M20)</f>
        <v>30900</v>
      </c>
      <c r="O20" s="102">
        <v>10300</v>
      </c>
      <c r="P20" s="102">
        <v>4900</v>
      </c>
      <c r="Q20" s="102">
        <v>10300</v>
      </c>
      <c r="R20" s="78">
        <f>SUM(O20:Q20)</f>
        <v>25500</v>
      </c>
      <c r="S20" s="79">
        <f aca="true" t="shared" si="7" ref="S20:S40">R20+N20+J20+F20</f>
        <v>107900</v>
      </c>
      <c r="T20" s="198">
        <f>'[1]норматив'!$F$20</f>
        <v>107900</v>
      </c>
      <c r="U20" s="198">
        <f>S20-T20</f>
        <v>0</v>
      </c>
    </row>
    <row r="21" spans="1:20" s="53" customFormat="1" ht="22.5">
      <c r="A21" s="77" t="s">
        <v>179</v>
      </c>
      <c r="B21" s="78">
        <v>212</v>
      </c>
      <c r="C21" s="58"/>
      <c r="D21" s="58">
        <v>500</v>
      </c>
      <c r="E21" s="58">
        <v>250</v>
      </c>
      <c r="F21" s="78">
        <f t="shared" si="6"/>
        <v>750</v>
      </c>
      <c r="G21" s="58">
        <v>250</v>
      </c>
      <c r="H21" s="58">
        <v>250</v>
      </c>
      <c r="I21" s="58">
        <v>250</v>
      </c>
      <c r="J21" s="78">
        <f aca="true" t="shared" si="8" ref="J21:J40">SUM(G21:I21)</f>
        <v>750</v>
      </c>
      <c r="K21" s="58">
        <v>250</v>
      </c>
      <c r="L21" s="58">
        <v>250</v>
      </c>
      <c r="M21" s="58">
        <v>250</v>
      </c>
      <c r="N21" s="78">
        <f aca="true" t="shared" si="9" ref="N21:N40">SUM(K21:M21)</f>
        <v>750</v>
      </c>
      <c r="O21" s="58">
        <v>250</v>
      </c>
      <c r="P21" s="58">
        <v>250</v>
      </c>
      <c r="Q21" s="58">
        <v>1897.15</v>
      </c>
      <c r="R21" s="78">
        <f aca="true" t="shared" si="10" ref="R21:R40">SUM(O21:Q21)</f>
        <v>2397.15</v>
      </c>
      <c r="S21" s="79">
        <f t="shared" si="7"/>
        <v>4647.15</v>
      </c>
      <c r="T21" s="53">
        <f>'[1]норматив'!$F$35</f>
        <v>4647.15</v>
      </c>
    </row>
    <row r="22" spans="1:20" s="53" customFormat="1" ht="15">
      <c r="A22" s="107" t="s">
        <v>180</v>
      </c>
      <c r="B22" s="78">
        <v>221</v>
      </c>
      <c r="C22" s="58">
        <v>1334.3</v>
      </c>
      <c r="D22" s="58">
        <v>1334.3</v>
      </c>
      <c r="E22" s="58">
        <v>1334.3</v>
      </c>
      <c r="F22" s="78">
        <f t="shared" si="6"/>
        <v>4002.8999999999996</v>
      </c>
      <c r="G22" s="58">
        <v>727</v>
      </c>
      <c r="H22" s="58">
        <v>727</v>
      </c>
      <c r="I22" s="58">
        <v>727</v>
      </c>
      <c r="J22" s="78">
        <f t="shared" si="8"/>
        <v>2181</v>
      </c>
      <c r="K22" s="58">
        <f>224.2+564.48+1400</f>
        <v>2188.6800000000003</v>
      </c>
      <c r="L22" s="58">
        <v>2188.68</v>
      </c>
      <c r="M22" s="58">
        <v>2188.68</v>
      </c>
      <c r="N22" s="78">
        <f t="shared" si="9"/>
        <v>6566.040000000001</v>
      </c>
      <c r="O22" s="58">
        <v>2188.68</v>
      </c>
      <c r="P22" s="58">
        <v>1072.28</v>
      </c>
      <c r="Q22" s="58"/>
      <c r="R22" s="78">
        <f t="shared" si="10"/>
        <v>3260.96</v>
      </c>
      <c r="S22" s="79">
        <f t="shared" si="7"/>
        <v>16010.9</v>
      </c>
      <c r="T22" s="53">
        <f>'[1]норматив'!$F$87</f>
        <v>16010.9</v>
      </c>
    </row>
    <row r="23" spans="1:20" s="53" customFormat="1" ht="15">
      <c r="A23" s="107" t="s">
        <v>181</v>
      </c>
      <c r="B23" s="78">
        <v>223</v>
      </c>
      <c r="C23" s="78">
        <f>C65+C67+C69+C71+C72</f>
        <v>108621.7</v>
      </c>
      <c r="D23" s="78">
        <f>D65+D67+D69+D71+D72</f>
        <v>180057.92</v>
      </c>
      <c r="E23" s="78">
        <f>E65+E67+E69+E71+E72</f>
        <v>370374.8</v>
      </c>
      <c r="F23" s="78">
        <f t="shared" si="6"/>
        <v>659054.4199999999</v>
      </c>
      <c r="G23" s="78">
        <f>G65+G67+G69+G71+G72</f>
        <v>181017.25</v>
      </c>
      <c r="H23" s="78">
        <f aca="true" t="shared" si="11" ref="H23:P23">H65+H67+H69+H71+H72</f>
        <v>159372.31999999998</v>
      </c>
      <c r="I23" s="78">
        <f t="shared" si="11"/>
        <v>72476.28</v>
      </c>
      <c r="J23" s="78">
        <f t="shared" si="8"/>
        <v>412865.85</v>
      </c>
      <c r="K23" s="78">
        <f t="shared" si="11"/>
        <v>16899.6</v>
      </c>
      <c r="L23" s="78">
        <f t="shared" si="11"/>
        <v>30706.51</v>
      </c>
      <c r="M23" s="78">
        <f t="shared" si="11"/>
        <v>16046.73</v>
      </c>
      <c r="N23" s="78">
        <f t="shared" si="9"/>
        <v>63652.84</v>
      </c>
      <c r="O23" s="78">
        <f t="shared" si="11"/>
        <v>100158.38</v>
      </c>
      <c r="P23" s="78">
        <f t="shared" si="11"/>
        <v>107596.19</v>
      </c>
      <c r="Q23" s="78">
        <f>Q65+Q67+Q69+Q71+Q72</f>
        <v>70431.64</v>
      </c>
      <c r="R23" s="78">
        <f t="shared" si="10"/>
        <v>278186.21</v>
      </c>
      <c r="S23" s="79">
        <f t="shared" si="7"/>
        <v>1413759.3199999998</v>
      </c>
      <c r="T23" s="80">
        <f>'[1]норматив'!$F$118</f>
        <v>1413759.3199999998</v>
      </c>
    </row>
    <row r="24" spans="1:20" s="111" customFormat="1" ht="17.25" customHeight="1">
      <c r="A24" s="108" t="s">
        <v>182</v>
      </c>
      <c r="B24" s="109"/>
      <c r="C24" s="109">
        <f>C66+C70</f>
        <v>10478.3</v>
      </c>
      <c r="D24" s="109">
        <f>D66+D70</f>
        <v>44651.090000000004</v>
      </c>
      <c r="E24" s="109">
        <f>E66+E70</f>
        <v>281104.2</v>
      </c>
      <c r="F24" s="109">
        <f>C24+D24+E24</f>
        <v>336233.59</v>
      </c>
      <c r="G24" s="109">
        <f>G66+G70</f>
        <v>32113.47</v>
      </c>
      <c r="H24" s="109">
        <f>H66+H70</f>
        <v>53758.41</v>
      </c>
      <c r="I24" s="109">
        <f>I66+I70</f>
        <v>23718.7</v>
      </c>
      <c r="J24" s="109">
        <f>G24+H24+I24</f>
        <v>109590.58</v>
      </c>
      <c r="K24" s="109">
        <f>K66+K70</f>
        <v>1087.75</v>
      </c>
      <c r="L24" s="109">
        <f>L66+L70</f>
        <v>2184.75</v>
      </c>
      <c r="M24" s="109">
        <f>M66+M70</f>
        <v>0</v>
      </c>
      <c r="N24" s="109">
        <f>K24+L24+M24</f>
        <v>3272.5</v>
      </c>
      <c r="O24" s="109">
        <f>O66+O70</f>
        <v>10680.59</v>
      </c>
      <c r="P24" s="109">
        <f>P66+P70</f>
        <v>60077.78</v>
      </c>
      <c r="Q24" s="109">
        <f>Q66+Q70</f>
        <v>70431.64</v>
      </c>
      <c r="R24" s="109">
        <f>O24+P24+Q24</f>
        <v>141190.01</v>
      </c>
      <c r="S24" s="110">
        <f>R24+N24+J24+F24</f>
        <v>590286.68</v>
      </c>
      <c r="T24" s="199">
        <f>'[1]норматив'!$F$126+'[1]норматив'!$F$127</f>
        <v>590286.68</v>
      </c>
    </row>
    <row r="25" spans="1:20" ht="15">
      <c r="A25" s="112" t="s">
        <v>183</v>
      </c>
      <c r="B25" s="113">
        <v>225</v>
      </c>
      <c r="C25" s="56">
        <v>8890</v>
      </c>
      <c r="D25" s="56">
        <v>8890</v>
      </c>
      <c r="E25" s="56">
        <v>8890</v>
      </c>
      <c r="F25" s="78">
        <f t="shared" si="6"/>
        <v>26670</v>
      </c>
      <c r="G25" s="56">
        <v>8890</v>
      </c>
      <c r="H25" s="56">
        <v>8890</v>
      </c>
      <c r="I25" s="56">
        <v>8890</v>
      </c>
      <c r="J25" s="78">
        <f t="shared" si="8"/>
        <v>26670</v>
      </c>
      <c r="K25" s="56">
        <v>8890</v>
      </c>
      <c r="L25" s="56">
        <v>8890</v>
      </c>
      <c r="M25" s="56">
        <v>8890</v>
      </c>
      <c r="N25" s="78">
        <f t="shared" si="9"/>
        <v>26670</v>
      </c>
      <c r="O25" s="56">
        <v>12577.71</v>
      </c>
      <c r="P25" s="56">
        <v>10001.5</v>
      </c>
      <c r="Q25" s="56"/>
      <c r="R25" s="78">
        <f t="shared" si="10"/>
        <v>22579.21</v>
      </c>
      <c r="S25" s="79">
        <f t="shared" si="7"/>
        <v>102589.20999999999</v>
      </c>
      <c r="T25" s="54">
        <f>'[1]норматив'!$F$50</f>
        <v>102589.20999999999</v>
      </c>
    </row>
    <row r="26" spans="1:20" ht="15">
      <c r="A26" s="112" t="s">
        <v>184</v>
      </c>
      <c r="B26" s="113">
        <v>225</v>
      </c>
      <c r="C26" s="56">
        <v>244.65</v>
      </c>
      <c r="D26" s="56">
        <v>244.65</v>
      </c>
      <c r="E26" s="56">
        <v>453.15</v>
      </c>
      <c r="F26" s="78">
        <f t="shared" si="6"/>
        <v>942.45</v>
      </c>
      <c r="G26" s="56">
        <v>244.65</v>
      </c>
      <c r="H26" s="56">
        <v>244.65</v>
      </c>
      <c r="I26" s="56">
        <v>244.65</v>
      </c>
      <c r="J26" s="78">
        <f t="shared" si="8"/>
        <v>733.95</v>
      </c>
      <c r="K26" s="56">
        <v>244.65</v>
      </c>
      <c r="L26" s="56">
        <v>244.65</v>
      </c>
      <c r="M26" s="56">
        <v>244.65</v>
      </c>
      <c r="N26" s="78">
        <f t="shared" si="9"/>
        <v>733.95</v>
      </c>
      <c r="O26" s="56">
        <v>36.15</v>
      </c>
      <c r="P26" s="56">
        <v>244.65</v>
      </c>
      <c r="Q26" s="56">
        <v>244.65</v>
      </c>
      <c r="R26" s="78">
        <f t="shared" si="10"/>
        <v>525.45</v>
      </c>
      <c r="S26" s="79">
        <f t="shared" si="7"/>
        <v>2935.8</v>
      </c>
      <c r="T26" s="54">
        <f>'[1]норматив'!$F$51</f>
        <v>2935.8</v>
      </c>
    </row>
    <row r="27" spans="1:20" ht="26.25">
      <c r="A27" s="112" t="s">
        <v>185</v>
      </c>
      <c r="B27" s="113">
        <v>225</v>
      </c>
      <c r="C27" s="56">
        <v>3081.16</v>
      </c>
      <c r="D27" s="56">
        <f>3081.16</f>
        <v>3081.16</v>
      </c>
      <c r="E27" s="56">
        <v>437.68</v>
      </c>
      <c r="F27" s="78">
        <f t="shared" si="6"/>
        <v>6600</v>
      </c>
      <c r="G27" s="56"/>
      <c r="H27" s="56"/>
      <c r="I27" s="56"/>
      <c r="J27" s="78">
        <f t="shared" si="8"/>
        <v>0</v>
      </c>
      <c r="K27" s="56"/>
      <c r="L27" s="56"/>
      <c r="M27" s="56"/>
      <c r="N27" s="78">
        <f t="shared" si="9"/>
        <v>0</v>
      </c>
      <c r="O27" s="56"/>
      <c r="P27" s="56"/>
      <c r="Q27" s="56"/>
      <c r="R27" s="78">
        <f t="shared" si="10"/>
        <v>0</v>
      </c>
      <c r="S27" s="79">
        <f t="shared" si="7"/>
        <v>6600</v>
      </c>
      <c r="T27" s="54">
        <f>'[1]норматив'!$F$52</f>
        <v>6600</v>
      </c>
    </row>
    <row r="28" spans="1:20" ht="26.25">
      <c r="A28" s="112" t="s">
        <v>186</v>
      </c>
      <c r="B28" s="113">
        <v>225</v>
      </c>
      <c r="C28" s="56">
        <v>4384</v>
      </c>
      <c r="D28" s="56">
        <v>4384</v>
      </c>
      <c r="E28" s="56">
        <v>4384</v>
      </c>
      <c r="F28" s="78">
        <f t="shared" si="6"/>
        <v>13152</v>
      </c>
      <c r="G28" s="56">
        <v>4384</v>
      </c>
      <c r="H28" s="56">
        <v>4384</v>
      </c>
      <c r="I28" s="56">
        <v>4384</v>
      </c>
      <c r="J28" s="78">
        <f t="shared" si="8"/>
        <v>13152</v>
      </c>
      <c r="K28" s="56">
        <v>4384</v>
      </c>
      <c r="L28" s="56">
        <v>4384</v>
      </c>
      <c r="M28" s="56">
        <v>4384</v>
      </c>
      <c r="N28" s="78">
        <f t="shared" si="9"/>
        <v>13152</v>
      </c>
      <c r="O28" s="56">
        <v>4384</v>
      </c>
      <c r="P28" s="56">
        <v>4384</v>
      </c>
      <c r="Q28" s="56">
        <v>4384</v>
      </c>
      <c r="R28" s="78">
        <f t="shared" si="10"/>
        <v>13152</v>
      </c>
      <c r="S28" s="79">
        <f t="shared" si="7"/>
        <v>52608</v>
      </c>
      <c r="T28" s="54">
        <f>'[1]норматив'!$F$53</f>
        <v>52608</v>
      </c>
    </row>
    <row r="29" spans="1:20" ht="26.25">
      <c r="A29" s="112" t="s">
        <v>187</v>
      </c>
      <c r="B29" s="113">
        <v>225</v>
      </c>
      <c r="C29" s="56">
        <v>700</v>
      </c>
      <c r="D29" s="56">
        <v>700</v>
      </c>
      <c r="E29" s="56">
        <v>3134.98</v>
      </c>
      <c r="F29" s="78">
        <f t="shared" si="6"/>
        <v>4534.98</v>
      </c>
      <c r="G29" s="56"/>
      <c r="H29" s="56"/>
      <c r="I29" s="56">
        <v>1765.02</v>
      </c>
      <c r="J29" s="78">
        <f t="shared" si="8"/>
        <v>1765.02</v>
      </c>
      <c r="K29" s="56">
        <v>700</v>
      </c>
      <c r="L29" s="56">
        <v>700</v>
      </c>
      <c r="M29" s="56">
        <v>700</v>
      </c>
      <c r="N29" s="78">
        <f t="shared" si="9"/>
        <v>2100</v>
      </c>
      <c r="O29" s="56"/>
      <c r="P29" s="56"/>
      <c r="Q29" s="56"/>
      <c r="R29" s="78">
        <f t="shared" si="10"/>
        <v>0</v>
      </c>
      <c r="S29" s="79">
        <f t="shared" si="7"/>
        <v>8400</v>
      </c>
      <c r="T29" s="54">
        <f>'[1]норматив'!$F$56</f>
        <v>8400</v>
      </c>
    </row>
    <row r="30" spans="1:20" ht="15">
      <c r="A30" s="200" t="s">
        <v>264</v>
      </c>
      <c r="B30" s="113"/>
      <c r="C30" s="56"/>
      <c r="D30" s="56"/>
      <c r="E30" s="56"/>
      <c r="F30" s="78"/>
      <c r="G30" s="56"/>
      <c r="H30" s="56"/>
      <c r="I30" s="56"/>
      <c r="J30" s="78"/>
      <c r="K30" s="56"/>
      <c r="L30" s="56"/>
      <c r="M30" s="56"/>
      <c r="N30" s="78"/>
      <c r="O30" s="56">
        <v>9631.65</v>
      </c>
      <c r="P30" s="56">
        <v>9631.65</v>
      </c>
      <c r="Q30" s="56">
        <v>9631.65</v>
      </c>
      <c r="R30" s="78">
        <f t="shared" si="10"/>
        <v>28894.949999999997</v>
      </c>
      <c r="S30" s="79">
        <f t="shared" si="7"/>
        <v>28894.949999999997</v>
      </c>
      <c r="T30" s="54">
        <f>'[1]норматив'!$F$58</f>
        <v>28894.95</v>
      </c>
    </row>
    <row r="31" spans="1:20" ht="15">
      <c r="A31" s="112" t="s">
        <v>188</v>
      </c>
      <c r="B31" s="113">
        <v>225</v>
      </c>
      <c r="C31" s="56"/>
      <c r="D31" s="56"/>
      <c r="E31" s="56"/>
      <c r="F31" s="78">
        <f t="shared" si="6"/>
        <v>0</v>
      </c>
      <c r="G31" s="56"/>
      <c r="H31" s="56"/>
      <c r="I31" s="56"/>
      <c r="J31" s="78">
        <f t="shared" si="8"/>
        <v>0</v>
      </c>
      <c r="K31" s="56"/>
      <c r="L31" s="56"/>
      <c r="M31" s="56"/>
      <c r="N31" s="78">
        <f t="shared" si="9"/>
        <v>0</v>
      </c>
      <c r="O31" s="56">
        <v>2900</v>
      </c>
      <c r="P31" s="56"/>
      <c r="Q31" s="56">
        <v>4437.47</v>
      </c>
      <c r="R31" s="78">
        <f t="shared" si="10"/>
        <v>7337.47</v>
      </c>
      <c r="S31" s="79">
        <f t="shared" si="7"/>
        <v>7337.47</v>
      </c>
      <c r="T31" s="54">
        <f>'[1]норматив'!$F$57</f>
        <v>7337.47</v>
      </c>
    </row>
    <row r="32" spans="1:20" s="53" customFormat="1" ht="15">
      <c r="A32" s="114" t="s">
        <v>189</v>
      </c>
      <c r="B32" s="78"/>
      <c r="C32" s="78">
        <f>SUM(C25:C31)</f>
        <v>17299.809999999998</v>
      </c>
      <c r="D32" s="78">
        <f aca="true" t="shared" si="12" ref="D32:R32">SUM(D25:D31)</f>
        <v>17299.809999999998</v>
      </c>
      <c r="E32" s="78">
        <f t="shared" si="12"/>
        <v>17299.81</v>
      </c>
      <c r="F32" s="78">
        <f t="shared" si="12"/>
        <v>51899.42999999999</v>
      </c>
      <c r="G32" s="78">
        <f t="shared" si="12"/>
        <v>13518.65</v>
      </c>
      <c r="H32" s="78">
        <f t="shared" si="12"/>
        <v>13518.65</v>
      </c>
      <c r="I32" s="78">
        <f t="shared" si="12"/>
        <v>15283.67</v>
      </c>
      <c r="J32" s="78">
        <f t="shared" si="12"/>
        <v>42320.969999999994</v>
      </c>
      <c r="K32" s="78">
        <f t="shared" si="12"/>
        <v>14218.65</v>
      </c>
      <c r="L32" s="78">
        <f t="shared" si="12"/>
        <v>14218.65</v>
      </c>
      <c r="M32" s="78">
        <f t="shared" si="12"/>
        <v>14218.65</v>
      </c>
      <c r="N32" s="78">
        <f t="shared" si="12"/>
        <v>42655.95</v>
      </c>
      <c r="O32" s="78">
        <f t="shared" si="12"/>
        <v>29529.510000000002</v>
      </c>
      <c r="P32" s="78">
        <f t="shared" si="12"/>
        <v>24261.8</v>
      </c>
      <c r="Q32" s="78">
        <f t="shared" si="12"/>
        <v>18697.77</v>
      </c>
      <c r="R32" s="78">
        <f t="shared" si="12"/>
        <v>72489.08</v>
      </c>
      <c r="S32" s="79">
        <f t="shared" si="7"/>
        <v>209365.43</v>
      </c>
      <c r="T32" s="80">
        <f>SUM(T25:T31)</f>
        <v>209365.43000000002</v>
      </c>
    </row>
    <row r="33" spans="1:20" ht="15">
      <c r="A33" s="112" t="s">
        <v>190</v>
      </c>
      <c r="B33" s="113">
        <v>226</v>
      </c>
      <c r="C33" s="56">
        <v>1000.1</v>
      </c>
      <c r="D33" s="56">
        <v>1000.1</v>
      </c>
      <c r="E33" s="56">
        <v>1000.1</v>
      </c>
      <c r="F33" s="78">
        <f t="shared" si="6"/>
        <v>3000.3</v>
      </c>
      <c r="G33" s="56">
        <v>1002.84</v>
      </c>
      <c r="H33" s="56">
        <v>1002.84</v>
      </c>
      <c r="I33" s="56">
        <v>1002.84</v>
      </c>
      <c r="J33" s="78">
        <f t="shared" si="8"/>
        <v>3008.52</v>
      </c>
      <c r="K33" s="56">
        <v>1002.84</v>
      </c>
      <c r="L33" s="56">
        <v>1002.84</v>
      </c>
      <c r="M33" s="56">
        <v>1002.84</v>
      </c>
      <c r="N33" s="78">
        <f t="shared" si="9"/>
        <v>3008.52</v>
      </c>
      <c r="O33" s="56">
        <v>1002.84</v>
      </c>
      <c r="P33" s="56">
        <v>1002.84</v>
      </c>
      <c r="Q33" s="56">
        <v>1002.84</v>
      </c>
      <c r="R33" s="78">
        <f t="shared" si="10"/>
        <v>3008.52</v>
      </c>
      <c r="S33" s="79">
        <f t="shared" si="7"/>
        <v>12025.86</v>
      </c>
      <c r="T33" s="54">
        <f>'[1]норматив'!$F$54</f>
        <v>12025.86</v>
      </c>
    </row>
    <row r="34" spans="1:20" ht="26.25">
      <c r="A34" s="112" t="s">
        <v>191</v>
      </c>
      <c r="B34" s="113">
        <v>226</v>
      </c>
      <c r="C34" s="56"/>
      <c r="D34" s="56"/>
      <c r="E34" s="56"/>
      <c r="F34" s="78">
        <f t="shared" si="6"/>
        <v>0</v>
      </c>
      <c r="G34" s="56"/>
      <c r="H34" s="56"/>
      <c r="I34" s="56"/>
      <c r="J34" s="78">
        <f t="shared" si="8"/>
        <v>0</v>
      </c>
      <c r="K34" s="56"/>
      <c r="L34" s="56"/>
      <c r="M34" s="56"/>
      <c r="N34" s="78">
        <f t="shared" si="9"/>
        <v>0</v>
      </c>
      <c r="O34" s="56"/>
      <c r="P34" s="56">
        <v>820</v>
      </c>
      <c r="Q34" s="56"/>
      <c r="R34" s="78">
        <f t="shared" si="10"/>
        <v>820</v>
      </c>
      <c r="S34" s="79">
        <f t="shared" si="7"/>
        <v>820</v>
      </c>
      <c r="T34" s="54">
        <f>'[1]норматив'!$F$55</f>
        <v>820</v>
      </c>
    </row>
    <row r="35" spans="1:19" ht="15">
      <c r="A35" s="115" t="s">
        <v>192</v>
      </c>
      <c r="B35" s="113">
        <v>226</v>
      </c>
      <c r="C35" s="56"/>
      <c r="D35" s="56"/>
      <c r="E35" s="56"/>
      <c r="F35" s="78">
        <f t="shared" si="6"/>
        <v>0</v>
      </c>
      <c r="G35" s="56"/>
      <c r="H35" s="56"/>
      <c r="I35" s="56"/>
      <c r="J35" s="78">
        <f t="shared" si="8"/>
        <v>0</v>
      </c>
      <c r="K35" s="56"/>
      <c r="L35" s="56"/>
      <c r="M35" s="56"/>
      <c r="N35" s="78">
        <f t="shared" si="9"/>
        <v>0</v>
      </c>
      <c r="O35" s="56"/>
      <c r="P35" s="56"/>
      <c r="Q35" s="56"/>
      <c r="R35" s="78">
        <f t="shared" si="10"/>
        <v>0</v>
      </c>
      <c r="S35" s="79">
        <f t="shared" si="7"/>
        <v>0</v>
      </c>
    </row>
    <row r="36" spans="1:20" ht="15">
      <c r="A36" s="112" t="s">
        <v>265</v>
      </c>
      <c r="B36" s="113">
        <v>226</v>
      </c>
      <c r="C36" s="56"/>
      <c r="D36" s="56"/>
      <c r="E36" s="56"/>
      <c r="F36" s="78">
        <f t="shared" si="6"/>
        <v>0</v>
      </c>
      <c r="G36" s="56"/>
      <c r="H36" s="56"/>
      <c r="I36" s="56"/>
      <c r="J36" s="78">
        <f t="shared" si="8"/>
        <v>0</v>
      </c>
      <c r="K36" s="56"/>
      <c r="L36" s="56"/>
      <c r="M36" s="56"/>
      <c r="N36" s="78">
        <f t="shared" si="9"/>
        <v>0</v>
      </c>
      <c r="O36" s="56">
        <v>2000</v>
      </c>
      <c r="P36" s="56"/>
      <c r="Q36" s="56"/>
      <c r="R36" s="78">
        <f t="shared" si="10"/>
        <v>2000</v>
      </c>
      <c r="S36" s="79">
        <f t="shared" si="7"/>
        <v>2000</v>
      </c>
      <c r="T36">
        <f>'[1]норматив'!$F$89</f>
        <v>2000</v>
      </c>
    </row>
    <row r="37" spans="1:20" ht="15">
      <c r="A37" s="116" t="s">
        <v>266</v>
      </c>
      <c r="B37" s="113">
        <v>226</v>
      </c>
      <c r="C37" s="56"/>
      <c r="D37" s="56"/>
      <c r="E37" s="56"/>
      <c r="F37" s="78">
        <f t="shared" si="6"/>
        <v>0</v>
      </c>
      <c r="G37" s="56"/>
      <c r="H37" s="56"/>
      <c r="I37" s="56"/>
      <c r="J37" s="78">
        <f t="shared" si="8"/>
        <v>0</v>
      </c>
      <c r="K37" s="56"/>
      <c r="L37" s="56"/>
      <c r="M37" s="56"/>
      <c r="N37" s="78">
        <f t="shared" si="9"/>
        <v>0</v>
      </c>
      <c r="O37" s="56"/>
      <c r="P37" s="56"/>
      <c r="Q37" s="56">
        <v>22992.44</v>
      </c>
      <c r="R37" s="78">
        <f t="shared" si="10"/>
        <v>22992.44</v>
      </c>
      <c r="S37" s="79">
        <f t="shared" si="7"/>
        <v>22992.44</v>
      </c>
      <c r="T37">
        <f>'[1]норматив'!$F$90+'[1]норматив'!$F$91</f>
        <v>22992.44</v>
      </c>
    </row>
    <row r="38" spans="1:20" s="53" customFormat="1" ht="15">
      <c r="A38" s="107" t="s">
        <v>193</v>
      </c>
      <c r="B38" s="78"/>
      <c r="C38" s="78">
        <f>SUM(C33:C37)</f>
        <v>1000.1</v>
      </c>
      <c r="D38" s="78">
        <f aca="true" t="shared" si="13" ref="D38:R38">SUM(D33:D37)</f>
        <v>1000.1</v>
      </c>
      <c r="E38" s="78">
        <f t="shared" si="13"/>
        <v>1000.1</v>
      </c>
      <c r="F38" s="78">
        <f t="shared" si="13"/>
        <v>3000.3</v>
      </c>
      <c r="G38" s="78">
        <f t="shared" si="13"/>
        <v>1002.84</v>
      </c>
      <c r="H38" s="78">
        <f t="shared" si="13"/>
        <v>1002.84</v>
      </c>
      <c r="I38" s="78">
        <f t="shared" si="13"/>
        <v>1002.84</v>
      </c>
      <c r="J38" s="78">
        <f t="shared" si="13"/>
        <v>3008.52</v>
      </c>
      <c r="K38" s="78">
        <f t="shared" si="13"/>
        <v>1002.84</v>
      </c>
      <c r="L38" s="78">
        <f t="shared" si="13"/>
        <v>1002.84</v>
      </c>
      <c r="M38" s="78">
        <f t="shared" si="13"/>
        <v>1002.84</v>
      </c>
      <c r="N38" s="78">
        <f t="shared" si="13"/>
        <v>3008.52</v>
      </c>
      <c r="O38" s="78">
        <f t="shared" si="13"/>
        <v>3002.84</v>
      </c>
      <c r="P38" s="78">
        <f t="shared" si="13"/>
        <v>1822.8400000000001</v>
      </c>
      <c r="Q38" s="78">
        <f t="shared" si="13"/>
        <v>23995.28</v>
      </c>
      <c r="R38" s="78">
        <f t="shared" si="13"/>
        <v>28820.96</v>
      </c>
      <c r="S38" s="79">
        <f t="shared" si="7"/>
        <v>37838.3</v>
      </c>
      <c r="T38" s="80">
        <f>SUM(T33:T37)</f>
        <v>37838.3</v>
      </c>
    </row>
    <row r="39" spans="1:20" s="53" customFormat="1" ht="15">
      <c r="A39" s="107" t="s">
        <v>194</v>
      </c>
      <c r="B39" s="78">
        <v>310</v>
      </c>
      <c r="C39" s="58">
        <v>0</v>
      </c>
      <c r="D39" s="58">
        <v>0</v>
      </c>
      <c r="E39" s="58">
        <v>0</v>
      </c>
      <c r="F39" s="78">
        <f t="shared" si="6"/>
        <v>0</v>
      </c>
      <c r="G39" s="58">
        <v>0</v>
      </c>
      <c r="H39" s="58"/>
      <c r="I39" s="58">
        <v>88985</v>
      </c>
      <c r="J39" s="78">
        <f t="shared" si="8"/>
        <v>88985</v>
      </c>
      <c r="K39" s="58"/>
      <c r="L39" s="58"/>
      <c r="M39" s="58"/>
      <c r="N39" s="78">
        <f t="shared" si="9"/>
        <v>0</v>
      </c>
      <c r="O39" s="58"/>
      <c r="P39" s="58">
        <v>95846</v>
      </c>
      <c r="Q39" s="58"/>
      <c r="R39" s="78">
        <f t="shared" si="10"/>
        <v>95846</v>
      </c>
      <c r="S39" s="79">
        <f t="shared" si="7"/>
        <v>184831</v>
      </c>
      <c r="T39" s="80">
        <v>184831</v>
      </c>
    </row>
    <row r="40" spans="1:20" s="53" customFormat="1" ht="25.5">
      <c r="A40" s="117" t="s">
        <v>195</v>
      </c>
      <c r="B40" s="78">
        <v>340</v>
      </c>
      <c r="C40" s="58"/>
      <c r="D40" s="58"/>
      <c r="E40" s="58"/>
      <c r="F40" s="78">
        <f t="shared" si="6"/>
        <v>0</v>
      </c>
      <c r="G40" s="58"/>
      <c r="H40" s="58"/>
      <c r="I40" s="58">
        <v>47915</v>
      </c>
      <c r="J40" s="78">
        <f t="shared" si="8"/>
        <v>47915</v>
      </c>
      <c r="K40" s="58"/>
      <c r="L40" s="58"/>
      <c r="M40" s="58"/>
      <c r="N40" s="78">
        <f t="shared" si="9"/>
        <v>0</v>
      </c>
      <c r="O40" s="58"/>
      <c r="P40" s="58">
        <v>48676</v>
      </c>
      <c r="Q40" s="58"/>
      <c r="R40" s="78">
        <f t="shared" si="10"/>
        <v>48676</v>
      </c>
      <c r="S40" s="79">
        <f t="shared" si="7"/>
        <v>96591</v>
      </c>
      <c r="T40" s="53">
        <v>96591</v>
      </c>
    </row>
    <row r="41" spans="1:20" s="53" customFormat="1" ht="15">
      <c r="A41" s="117" t="s">
        <v>196</v>
      </c>
      <c r="B41" s="78"/>
      <c r="C41" s="78">
        <f aca="true" t="shared" si="14" ref="C41:S41">C6+C11+C39+C40</f>
        <v>343851</v>
      </c>
      <c r="D41" s="78">
        <f t="shared" si="14"/>
        <v>1320600</v>
      </c>
      <c r="E41" s="78">
        <f t="shared" si="14"/>
        <v>1382449</v>
      </c>
      <c r="F41" s="78">
        <f t="shared" si="14"/>
        <v>3046900</v>
      </c>
      <c r="G41" s="78">
        <f t="shared" si="14"/>
        <v>2235464</v>
      </c>
      <c r="H41" s="78">
        <f t="shared" si="14"/>
        <v>2000876</v>
      </c>
      <c r="I41" s="78">
        <f t="shared" si="14"/>
        <v>1182860</v>
      </c>
      <c r="J41" s="78">
        <f t="shared" si="14"/>
        <v>5419200</v>
      </c>
      <c r="K41" s="78">
        <f t="shared" si="14"/>
        <v>637183</v>
      </c>
      <c r="L41" s="78">
        <f t="shared" si="14"/>
        <v>1520352.0599999998</v>
      </c>
      <c r="M41" s="78">
        <f t="shared" si="14"/>
        <v>551738.8</v>
      </c>
      <c r="N41" s="78">
        <f t="shared" si="14"/>
        <v>2709273.86</v>
      </c>
      <c r="O41" s="78">
        <f t="shared" si="14"/>
        <v>1333654.02</v>
      </c>
      <c r="P41" s="78">
        <f t="shared" si="14"/>
        <v>3211165.3500000006</v>
      </c>
      <c r="Q41" s="78">
        <f t="shared" si="14"/>
        <v>1271506.77</v>
      </c>
      <c r="R41" s="78">
        <f t="shared" si="14"/>
        <v>5816326.14</v>
      </c>
      <c r="S41" s="79">
        <f t="shared" si="14"/>
        <v>16991700</v>
      </c>
      <c r="T41" s="79"/>
    </row>
    <row r="42" spans="1:20" s="53" customFormat="1" ht="25.5">
      <c r="A42" s="117" t="s">
        <v>197</v>
      </c>
      <c r="B42" s="78"/>
      <c r="C42" s="78">
        <f aca="true" t="shared" si="15" ref="C42:R42">C14+C19+C20</f>
        <v>262679.79000000004</v>
      </c>
      <c r="D42" s="78">
        <f t="shared" si="15"/>
        <v>874622.78</v>
      </c>
      <c r="E42" s="78">
        <f t="shared" si="15"/>
        <v>874872.79</v>
      </c>
      <c r="F42" s="78">
        <f t="shared" si="15"/>
        <v>2012175.3599999999</v>
      </c>
      <c r="G42" s="78">
        <f t="shared" si="15"/>
        <v>874872.79</v>
      </c>
      <c r="H42" s="78">
        <f t="shared" si="15"/>
        <v>2021004.78</v>
      </c>
      <c r="I42" s="78">
        <f t="shared" si="15"/>
        <v>364164.51</v>
      </c>
      <c r="J42" s="78">
        <f t="shared" si="15"/>
        <v>3260042.08</v>
      </c>
      <c r="K42" s="78">
        <f t="shared" si="15"/>
        <v>932912.98</v>
      </c>
      <c r="L42" s="78">
        <f t="shared" si="15"/>
        <v>865322</v>
      </c>
      <c r="M42" s="78">
        <f t="shared" si="15"/>
        <v>675342.81</v>
      </c>
      <c r="N42" s="78">
        <f t="shared" si="15"/>
        <v>2473577.79</v>
      </c>
      <c r="O42" s="78">
        <f t="shared" si="15"/>
        <v>852142.97</v>
      </c>
      <c r="P42" s="78">
        <f t="shared" si="15"/>
        <v>982063.22</v>
      </c>
      <c r="Q42" s="78">
        <f t="shared" si="15"/>
        <v>904421.8</v>
      </c>
      <c r="R42" s="78">
        <f t="shared" si="15"/>
        <v>2738627.99</v>
      </c>
      <c r="S42" s="79">
        <f>S7+S14+S40+S41</f>
        <v>33534376.97</v>
      </c>
      <c r="T42" s="79"/>
    </row>
    <row r="43" spans="1:21" s="123" customFormat="1" ht="15.75">
      <c r="A43" s="118" t="s">
        <v>198</v>
      </c>
      <c r="B43" s="119"/>
      <c r="C43" s="119">
        <f aca="true" t="shared" si="16" ref="C43:R43">C32+C23+C22+C21+C9+C8+C38+C16+C17</f>
        <v>447731.7</v>
      </c>
      <c r="D43" s="119">
        <f>D32+D23+D22+D21+D9+D8+D38+D16+D17</f>
        <v>1249386.13</v>
      </c>
      <c r="E43" s="119">
        <f>E32+E23+E22+E21+E9+E8+E38+E16+E17</f>
        <v>1535744.8599999999</v>
      </c>
      <c r="F43" s="119">
        <f t="shared" si="16"/>
        <v>3232862.6899999995</v>
      </c>
      <c r="G43" s="119">
        <f t="shared" si="16"/>
        <v>2163243.61</v>
      </c>
      <c r="H43" s="119">
        <f t="shared" si="16"/>
        <v>2831191.67</v>
      </c>
      <c r="I43" s="119">
        <f t="shared" si="16"/>
        <v>628474.4800000001</v>
      </c>
      <c r="J43" s="119">
        <f t="shared" si="16"/>
        <v>5622909.76</v>
      </c>
      <c r="K43" s="119">
        <f t="shared" si="16"/>
        <v>990071.75</v>
      </c>
      <c r="L43" s="119">
        <f t="shared" si="16"/>
        <v>983839.6799999999</v>
      </c>
      <c r="M43" s="119">
        <f t="shared" si="16"/>
        <v>840976.74</v>
      </c>
      <c r="N43" s="119">
        <f t="shared" si="16"/>
        <v>2814888.17</v>
      </c>
      <c r="O43" s="119">
        <f t="shared" si="16"/>
        <v>1210019.49</v>
      </c>
      <c r="P43" s="119">
        <f t="shared" si="16"/>
        <v>2119886.8</v>
      </c>
      <c r="Q43" s="119">
        <f t="shared" si="16"/>
        <v>1340494.4300000002</v>
      </c>
      <c r="R43" s="119">
        <f t="shared" si="16"/>
        <v>4670400.72</v>
      </c>
      <c r="S43" s="120">
        <f>S44+S45</f>
        <v>14664087.39</v>
      </c>
      <c r="T43" s="192">
        <f>T45+T44</f>
        <v>14664087.39</v>
      </c>
      <c r="U43" s="122">
        <f>T43-S43</f>
        <v>0</v>
      </c>
    </row>
    <row r="44" spans="1:21" s="53" customFormat="1" ht="15">
      <c r="A44" s="124" t="s">
        <v>199</v>
      </c>
      <c r="B44" s="125"/>
      <c r="C44" s="125">
        <f>C8+C9</f>
        <v>94262</v>
      </c>
      <c r="D44" s="125">
        <f aca="true" t="shared" si="17" ref="D44:Q44">D8+D9</f>
        <v>306824.14</v>
      </c>
      <c r="E44" s="125">
        <f t="shared" si="17"/>
        <v>412415.85</v>
      </c>
      <c r="F44" s="78">
        <f>SUM(C44:E44)</f>
        <v>813501.99</v>
      </c>
      <c r="G44" s="125">
        <f t="shared" si="17"/>
        <v>1224108</v>
      </c>
      <c r="H44" s="125">
        <f t="shared" si="17"/>
        <v>889520.37</v>
      </c>
      <c r="I44" s="125">
        <f t="shared" si="17"/>
        <v>306823.1</v>
      </c>
      <c r="J44" s="125">
        <f>SUM(G44:I44)</f>
        <v>2420451.47</v>
      </c>
      <c r="K44" s="125">
        <f t="shared" si="17"/>
        <v>130460</v>
      </c>
      <c r="L44" s="125">
        <f t="shared" si="17"/>
        <v>202403</v>
      </c>
      <c r="M44" s="125">
        <f t="shared" si="17"/>
        <v>264179.03</v>
      </c>
      <c r="N44" s="125">
        <f>SUM(K44:M44)</f>
        <v>597042.03</v>
      </c>
      <c r="O44" s="125">
        <f t="shared" si="17"/>
        <v>366628.11</v>
      </c>
      <c r="P44" s="125">
        <f t="shared" si="17"/>
        <v>1170841.47</v>
      </c>
      <c r="Q44" s="125">
        <f t="shared" si="17"/>
        <v>510308.07</v>
      </c>
      <c r="R44" s="125">
        <f>SUM(O44:Q44)</f>
        <v>2047777.6500000001</v>
      </c>
      <c r="S44" s="126">
        <f>F44+J44+N44+R44</f>
        <v>5878773.140000001</v>
      </c>
      <c r="T44" s="80">
        <f>'[1]норматив'!$F$42</f>
        <v>5878773.140000001</v>
      </c>
      <c r="U44" s="80">
        <f>T44-S44</f>
        <v>0</v>
      </c>
    </row>
    <row r="45" spans="1:21" s="53" customFormat="1" ht="15">
      <c r="A45" s="127" t="s">
        <v>200</v>
      </c>
      <c r="B45" s="125"/>
      <c r="C45" s="125">
        <f>C16+C17+C21+C22+C23+C32+C38</f>
        <v>353469.69999999995</v>
      </c>
      <c r="D45" s="125">
        <f>D16+D17+D21+D22+D23+D32+D38</f>
        <v>942561.9900000001</v>
      </c>
      <c r="E45" s="125">
        <f>E16+E17+E21+E22+E23+E32+E38</f>
        <v>1123329.0100000002</v>
      </c>
      <c r="F45" s="78">
        <f>SUM(C45:E45)</f>
        <v>2419360.7</v>
      </c>
      <c r="G45" s="125">
        <f aca="true" t="shared" si="18" ref="G45:Q45">G16+G17+G21+G22+G23+G32+G38</f>
        <v>939135.61</v>
      </c>
      <c r="H45" s="125">
        <f t="shared" si="18"/>
        <v>1941671.3</v>
      </c>
      <c r="I45" s="125">
        <f t="shared" si="18"/>
        <v>321651.38</v>
      </c>
      <c r="J45" s="125">
        <f>SUM(G45:I45)</f>
        <v>3202458.29</v>
      </c>
      <c r="K45" s="125">
        <f t="shared" si="18"/>
        <v>859611.75</v>
      </c>
      <c r="L45" s="125">
        <f t="shared" si="18"/>
        <v>781436.68</v>
      </c>
      <c r="M45" s="125">
        <f t="shared" si="18"/>
        <v>576797.7100000001</v>
      </c>
      <c r="N45" s="125">
        <f>SUM(K45:M45)</f>
        <v>2217846.14</v>
      </c>
      <c r="O45" s="125">
        <f t="shared" si="18"/>
        <v>843391.38</v>
      </c>
      <c r="P45" s="125">
        <f t="shared" si="18"/>
        <v>949045.33</v>
      </c>
      <c r="Q45" s="125">
        <f t="shared" si="18"/>
        <v>830186.3600000001</v>
      </c>
      <c r="R45" s="125">
        <f>SUM(O45:Q45)</f>
        <v>2622623.0700000003</v>
      </c>
      <c r="S45" s="126">
        <f>S16+S17+S21</f>
        <v>8785314.25</v>
      </c>
      <c r="T45" s="80">
        <f>'[1]норматив'!$F$48</f>
        <v>8785314.25</v>
      </c>
      <c r="U45" s="80">
        <f>T45-S45</f>
        <v>0</v>
      </c>
    </row>
    <row r="46" s="128" customFormat="1" ht="15">
      <c r="S46" s="129"/>
    </row>
    <row r="47" spans="1:21" s="121" customFormat="1" ht="15">
      <c r="A47" s="130" t="s">
        <v>201</v>
      </c>
      <c r="B47" s="130"/>
      <c r="C47" s="130">
        <f aca="true" t="shared" si="19" ref="C47:S47">C7+C10+C20+C15+C18+C39+C40</f>
        <v>287055</v>
      </c>
      <c r="D47" s="130">
        <f t="shared" si="19"/>
        <v>1146028.78</v>
      </c>
      <c r="E47" s="130">
        <f t="shared" si="19"/>
        <v>1111835.94</v>
      </c>
      <c r="F47" s="130">
        <f t="shared" si="19"/>
        <v>2544919.7199999997</v>
      </c>
      <c r="G47" s="130">
        <f t="shared" si="19"/>
        <v>1143608.92</v>
      </c>
      <c r="H47" s="130">
        <f t="shared" si="19"/>
        <v>1365559.92</v>
      </c>
      <c r="I47" s="130">
        <f t="shared" si="19"/>
        <v>1008289.8200000001</v>
      </c>
      <c r="J47" s="130">
        <f t="shared" si="19"/>
        <v>3517458.6599999997</v>
      </c>
      <c r="K47" s="130">
        <f t="shared" si="19"/>
        <v>614584</v>
      </c>
      <c r="L47" s="130">
        <f t="shared" si="19"/>
        <v>1450201.06</v>
      </c>
      <c r="M47" s="130">
        <f t="shared" si="19"/>
        <v>419811.77</v>
      </c>
      <c r="N47" s="130">
        <f t="shared" si="19"/>
        <v>2484596.83</v>
      </c>
      <c r="O47" s="130">
        <f t="shared" si="19"/>
        <v>1110906.91</v>
      </c>
      <c r="P47" s="130">
        <f t="shared" si="19"/>
        <v>2208344.88</v>
      </c>
      <c r="Q47" s="130">
        <f t="shared" si="19"/>
        <v>950455.98</v>
      </c>
      <c r="R47" s="130">
        <f t="shared" si="19"/>
        <v>4269707.77</v>
      </c>
      <c r="S47" s="131">
        <f t="shared" si="19"/>
        <v>12816682.979999999</v>
      </c>
      <c r="T47" s="132">
        <f>T48+T49</f>
        <v>12816682.979999999</v>
      </c>
      <c r="U47" s="132">
        <f>T47-S47</f>
        <v>0</v>
      </c>
    </row>
    <row r="48" spans="1:21" s="127" customFormat="1" ht="15">
      <c r="A48" s="124" t="s">
        <v>199</v>
      </c>
      <c r="B48" s="124"/>
      <c r="C48" s="124">
        <f>C7+C10+C39+C40</f>
        <v>249589</v>
      </c>
      <c r="D48" s="124">
        <f>D7+D10+D39+D40</f>
        <v>1013775.86</v>
      </c>
      <c r="E48" s="124">
        <f>E7+E10+E39+E40</f>
        <v>970033.15</v>
      </c>
      <c r="F48" s="124">
        <f>SUM(C48:E48)</f>
        <v>2233398.01</v>
      </c>
      <c r="G48" s="124">
        <f>G7+G10+G39+G40</f>
        <v>1011356</v>
      </c>
      <c r="H48" s="124">
        <f>H7+H10+H39+H40</f>
        <v>1111355.63</v>
      </c>
      <c r="I48" s="124">
        <f>I7+I10+I39+I40</f>
        <v>876036.9</v>
      </c>
      <c r="J48" s="124">
        <f>SUM(G48:I48)</f>
        <v>2998748.53</v>
      </c>
      <c r="K48" s="124">
        <f>K7+K10+K39+K40</f>
        <v>506723</v>
      </c>
      <c r="L48" s="124">
        <f>L7+L10+L39+L40</f>
        <v>1317949.06</v>
      </c>
      <c r="M48" s="124">
        <f>M7+M10+M39+M40</f>
        <v>287559.77</v>
      </c>
      <c r="N48" s="124">
        <f>SUM(K48:M48)</f>
        <v>2112231.83</v>
      </c>
      <c r="O48" s="124">
        <f>O7+O10+O39+O40</f>
        <v>967025.9099999999</v>
      </c>
      <c r="P48" s="124">
        <f>P7+P10+P39+P40</f>
        <v>2040323.8800000001</v>
      </c>
      <c r="Q48" s="124">
        <f>Q7+Q10+Q39+Q40</f>
        <v>761198.7</v>
      </c>
      <c r="R48" s="124">
        <f>SUM(O48:Q48)</f>
        <v>3768548.49</v>
      </c>
      <c r="S48" s="133">
        <f>S7+S10+S39+S40</f>
        <v>11112926.86</v>
      </c>
      <c r="T48" s="134">
        <f>'[1]норматив'!$F$29</f>
        <v>11112926.86</v>
      </c>
      <c r="U48" s="134">
        <f>T48-S48</f>
        <v>0</v>
      </c>
    </row>
    <row r="49" spans="1:22" s="53" customFormat="1" ht="15">
      <c r="A49" s="127" t="s">
        <v>200</v>
      </c>
      <c r="C49" s="53">
        <f>C15+C18+C20</f>
        <v>37466</v>
      </c>
      <c r="D49" s="53">
        <f>D15+D18+D20</f>
        <v>132252.91999999998</v>
      </c>
      <c r="E49" s="53">
        <f>E15+E18+E20</f>
        <v>141802.78999999998</v>
      </c>
      <c r="F49" s="124">
        <f>SUM(C49:E49)</f>
        <v>311521.70999999996</v>
      </c>
      <c r="G49" s="53">
        <f>G15+G18+G20</f>
        <v>132252.91999999998</v>
      </c>
      <c r="H49" s="53">
        <f>H15+H18+H20</f>
        <v>254204.29</v>
      </c>
      <c r="I49" s="53">
        <f>I15+I18+I20</f>
        <v>132252.91999999998</v>
      </c>
      <c r="J49" s="124">
        <f>SUM(G49:I49)</f>
        <v>518710.12999999995</v>
      </c>
      <c r="K49" s="53">
        <f>K15+K18+K20</f>
        <v>107861</v>
      </c>
      <c r="L49" s="53">
        <f>L15+L18+L20</f>
        <v>132252</v>
      </c>
      <c r="M49" s="53">
        <f>M15+M18+M20</f>
        <v>132252</v>
      </c>
      <c r="N49" s="124">
        <f>SUM(K49:M49)</f>
        <v>372365</v>
      </c>
      <c r="O49" s="53">
        <f>O15+O18+O20</f>
        <v>143881</v>
      </c>
      <c r="P49" s="53">
        <f>P15+P18+P20</f>
        <v>168021</v>
      </c>
      <c r="Q49" s="53">
        <f>Q15+Q18+Q20</f>
        <v>189257.28</v>
      </c>
      <c r="R49" s="124">
        <f>SUM(O49:Q49)</f>
        <v>501159.28</v>
      </c>
      <c r="S49" s="133">
        <f>F49+J49+N49+R49</f>
        <v>1703756.1199999999</v>
      </c>
      <c r="T49" s="80">
        <f>'[1]норматив'!$F$22</f>
        <v>1703756.1199999999</v>
      </c>
      <c r="U49" s="135">
        <f>T49-S49</f>
        <v>0</v>
      </c>
      <c r="V49" s="80"/>
    </row>
    <row r="50" spans="1:19" ht="15">
      <c r="A50" s="136"/>
      <c r="F50" s="137"/>
      <c r="J50" s="137"/>
      <c r="N50" s="137"/>
      <c r="R50" s="137"/>
      <c r="S50" s="138"/>
    </row>
    <row r="51" spans="1:21" s="53" customFormat="1" ht="15">
      <c r="A51" s="78" t="s">
        <v>181</v>
      </c>
      <c r="B51" s="78">
        <v>223</v>
      </c>
      <c r="C51" s="78">
        <f>C24</f>
        <v>10478.3</v>
      </c>
      <c r="D51" s="78">
        <f aca="true" t="shared" si="20" ref="D51:S51">D24</f>
        <v>44651.090000000004</v>
      </c>
      <c r="E51" s="78">
        <f t="shared" si="20"/>
        <v>281104.2</v>
      </c>
      <c r="F51" s="78">
        <f t="shared" si="20"/>
        <v>336233.59</v>
      </c>
      <c r="G51" s="78">
        <f t="shared" si="20"/>
        <v>32113.47</v>
      </c>
      <c r="H51" s="78">
        <f t="shared" si="20"/>
        <v>53758.41</v>
      </c>
      <c r="I51" s="78">
        <f t="shared" si="20"/>
        <v>23718.7</v>
      </c>
      <c r="J51" s="78">
        <f t="shared" si="20"/>
        <v>109590.58</v>
      </c>
      <c r="K51" s="78">
        <f t="shared" si="20"/>
        <v>1087.75</v>
      </c>
      <c r="L51" s="78">
        <f t="shared" si="20"/>
        <v>2184.75</v>
      </c>
      <c r="M51" s="78">
        <f t="shared" si="20"/>
        <v>0</v>
      </c>
      <c r="N51" s="78">
        <f t="shared" si="20"/>
        <v>3272.5</v>
      </c>
      <c r="O51" s="78">
        <f t="shared" si="20"/>
        <v>10680.59</v>
      </c>
      <c r="P51" s="78">
        <f t="shared" si="20"/>
        <v>60077.78</v>
      </c>
      <c r="Q51" s="78">
        <f t="shared" si="20"/>
        <v>70431.64</v>
      </c>
      <c r="R51" s="78">
        <f t="shared" si="20"/>
        <v>141190.01</v>
      </c>
      <c r="S51" s="79">
        <f t="shared" si="20"/>
        <v>590286.68</v>
      </c>
      <c r="T51" s="80">
        <f>'[1]норматив'!$F$126+'[1]норматив'!$F$127</f>
        <v>590286.68</v>
      </c>
      <c r="U51" s="80">
        <f>T51-S51</f>
        <v>0</v>
      </c>
    </row>
    <row r="52" spans="1:21" ht="15.75" customHeight="1">
      <c r="A52" s="113" t="s">
        <v>202</v>
      </c>
      <c r="B52" s="113">
        <v>290</v>
      </c>
      <c r="C52" s="56"/>
      <c r="D52" s="56"/>
      <c r="E52" s="56"/>
      <c r="F52" s="78">
        <f>C52+D52+E52</f>
        <v>0</v>
      </c>
      <c r="G52" s="56"/>
      <c r="H52" s="56">
        <v>0</v>
      </c>
      <c r="I52" s="56">
        <v>-1765</v>
      </c>
      <c r="J52" s="78">
        <f>G52+H52+I52</f>
        <v>-1765</v>
      </c>
      <c r="K52" s="56">
        <v>429308.5</v>
      </c>
      <c r="L52" s="56"/>
      <c r="M52" s="56"/>
      <c r="N52" s="78">
        <f>K52+L52+M52</f>
        <v>429308.5</v>
      </c>
      <c r="O52" s="56">
        <v>903925.5</v>
      </c>
      <c r="P52" s="56"/>
      <c r="Q52" s="56"/>
      <c r="R52" s="78">
        <f>O52+P52+Q52</f>
        <v>903925.5</v>
      </c>
      <c r="S52" s="139">
        <f>R52+J52+F52+N52</f>
        <v>1331469</v>
      </c>
      <c r="T52" s="54">
        <f>'[1]норматив'!$F$121+'[1]норматив'!$F$122</f>
        <v>1331469</v>
      </c>
      <c r="U52" s="54">
        <f>T52-S52</f>
        <v>0</v>
      </c>
    </row>
    <row r="53" spans="1:21" s="141" customFormat="1" ht="15">
      <c r="A53" s="130" t="s">
        <v>203</v>
      </c>
      <c r="B53" s="140"/>
      <c r="C53" s="130">
        <f>C51+C52</f>
        <v>10478.3</v>
      </c>
      <c r="D53" s="130">
        <f aca="true" t="shared" si="21" ref="D53:S53">D51+D52</f>
        <v>44651.090000000004</v>
      </c>
      <c r="E53" s="130">
        <f t="shared" si="21"/>
        <v>281104.2</v>
      </c>
      <c r="F53" s="130">
        <f t="shared" si="21"/>
        <v>336233.59</v>
      </c>
      <c r="G53" s="130">
        <f t="shared" si="21"/>
        <v>32113.47</v>
      </c>
      <c r="H53" s="130">
        <f t="shared" si="21"/>
        <v>53758.41</v>
      </c>
      <c r="I53" s="130">
        <f t="shared" si="21"/>
        <v>21953.7</v>
      </c>
      <c r="J53" s="130">
        <f t="shared" si="21"/>
        <v>107825.58</v>
      </c>
      <c r="K53" s="130">
        <f t="shared" si="21"/>
        <v>430396.25</v>
      </c>
      <c r="L53" s="130">
        <f t="shared" si="21"/>
        <v>2184.75</v>
      </c>
      <c r="M53" s="130">
        <f t="shared" si="21"/>
        <v>0</v>
      </c>
      <c r="N53" s="130">
        <f t="shared" si="21"/>
        <v>432581</v>
      </c>
      <c r="O53" s="130">
        <f t="shared" si="21"/>
        <v>914606.09</v>
      </c>
      <c r="P53" s="130">
        <f t="shared" si="21"/>
        <v>60077.78</v>
      </c>
      <c r="Q53" s="130">
        <f t="shared" si="21"/>
        <v>70431.64</v>
      </c>
      <c r="R53" s="130">
        <f t="shared" si="21"/>
        <v>1045115.51</v>
      </c>
      <c r="S53" s="131">
        <f t="shared" si="21"/>
        <v>1921755.6800000002</v>
      </c>
      <c r="T53" s="142">
        <f>'[1]норматив'!$F$131</f>
        <v>1921755.6800000002</v>
      </c>
      <c r="U53" s="142">
        <f>T53-S53</f>
        <v>0</v>
      </c>
    </row>
    <row r="54" ht="15">
      <c r="T54" s="54"/>
    </row>
    <row r="55" spans="1:21" s="148" customFormat="1" ht="15.75">
      <c r="A55" s="143" t="s">
        <v>204</v>
      </c>
      <c r="B55" s="143"/>
      <c r="C55" s="144">
        <f>C53+C47+C43</f>
        <v>745265</v>
      </c>
      <c r="D55" s="144">
        <f aca="true" t="shared" si="22" ref="D55:Q55">D53+D47+D43</f>
        <v>2440066</v>
      </c>
      <c r="E55" s="144">
        <f t="shared" si="22"/>
        <v>2928685</v>
      </c>
      <c r="F55" s="145">
        <f t="shared" si="22"/>
        <v>6114015.999999999</v>
      </c>
      <c r="G55" s="143">
        <f t="shared" si="22"/>
        <v>3338966</v>
      </c>
      <c r="H55" s="143">
        <f t="shared" si="22"/>
        <v>4250510</v>
      </c>
      <c r="I55" s="143">
        <f t="shared" si="22"/>
        <v>1658718</v>
      </c>
      <c r="J55" s="145">
        <f t="shared" si="22"/>
        <v>9248194</v>
      </c>
      <c r="K55" s="143">
        <f t="shared" si="22"/>
        <v>2035052</v>
      </c>
      <c r="L55" s="143">
        <f t="shared" si="22"/>
        <v>2436225.49</v>
      </c>
      <c r="M55" s="143">
        <f t="shared" si="22"/>
        <v>1260788.51</v>
      </c>
      <c r="N55" s="145">
        <f t="shared" si="22"/>
        <v>5732066</v>
      </c>
      <c r="O55" s="143">
        <f t="shared" si="22"/>
        <v>3235532.49</v>
      </c>
      <c r="P55" s="143">
        <f t="shared" si="22"/>
        <v>4388309.459999999</v>
      </c>
      <c r="Q55" s="143">
        <f t="shared" si="22"/>
        <v>2361382.0500000003</v>
      </c>
      <c r="R55" s="145">
        <f>O55+P55+Q55</f>
        <v>9985224</v>
      </c>
      <c r="S55" s="146">
        <f>S43+S47+S53+S38+S32+S23+S22</f>
        <v>31079499.999999996</v>
      </c>
      <c r="T55" s="146">
        <f>T43+T47+T53+T38+T32+T23+T22</f>
        <v>31079499.999999996</v>
      </c>
      <c r="U55" s="147">
        <f>T55-S55</f>
        <v>0</v>
      </c>
    </row>
    <row r="56" spans="1:19" s="55" customFormat="1" ht="15">
      <c r="A56" s="149"/>
      <c r="C56" s="55">
        <v>745265</v>
      </c>
      <c r="D56" s="55">
        <v>2440066</v>
      </c>
      <c r="E56" s="55">
        <v>2928685</v>
      </c>
      <c r="F56" s="150">
        <f>C56+D56+E56</f>
        <v>6114016</v>
      </c>
      <c r="G56" s="55">
        <v>3338966</v>
      </c>
      <c r="H56" s="55">
        <f>4240210+10300</f>
        <v>4250510</v>
      </c>
      <c r="I56" s="55">
        <f>1648418+10300</f>
        <v>1658718</v>
      </c>
      <c r="J56" s="150">
        <f>G56+H56+I56</f>
        <v>9248194</v>
      </c>
      <c r="K56" s="55">
        <v>2035052</v>
      </c>
      <c r="L56" s="55">
        <v>2436225.49</v>
      </c>
      <c r="M56" s="55">
        <v>1260788.51</v>
      </c>
      <c r="N56" s="150">
        <f>K56+L56+M56</f>
        <v>5732066</v>
      </c>
      <c r="O56" s="55">
        <v>3235532.49</v>
      </c>
      <c r="P56" s="55">
        <f>P55</f>
        <v>4388309.459999999</v>
      </c>
      <c r="Q56" s="55">
        <f>Q55</f>
        <v>2361382.0500000003</v>
      </c>
      <c r="R56" s="150">
        <f>O56+P56+Q56</f>
        <v>9985224</v>
      </c>
      <c r="S56" s="61">
        <f>F55+J55+N55+R55</f>
        <v>31079500</v>
      </c>
    </row>
    <row r="57" spans="2:19" s="151" customFormat="1" ht="15">
      <c r="B57" s="152"/>
      <c r="C57" s="151">
        <f aca="true" t="shared" si="23" ref="C57:J57">C56-C55</f>
        <v>0</v>
      </c>
      <c r="D57" s="151">
        <f t="shared" si="23"/>
        <v>0</v>
      </c>
      <c r="E57" s="151">
        <f t="shared" si="23"/>
        <v>0</v>
      </c>
      <c r="F57" s="151">
        <f t="shared" si="23"/>
        <v>0</v>
      </c>
      <c r="G57" s="151">
        <f t="shared" si="23"/>
        <v>0</v>
      </c>
      <c r="H57" s="151">
        <f t="shared" si="23"/>
        <v>0</v>
      </c>
      <c r="I57" s="151">
        <f t="shared" si="23"/>
        <v>0</v>
      </c>
      <c r="J57" s="151">
        <f t="shared" si="23"/>
        <v>0</v>
      </c>
      <c r="K57" s="151">
        <f>K56-K55</f>
        <v>0</v>
      </c>
      <c r="L57" s="151">
        <f>L56-L55</f>
        <v>0</v>
      </c>
      <c r="M57" s="151">
        <f>M56-M55</f>
        <v>0</v>
      </c>
      <c r="N57" s="151">
        <f>K57+L57+M57</f>
        <v>0</v>
      </c>
      <c r="R57" s="151">
        <f>R55-R56</f>
        <v>0</v>
      </c>
      <c r="S57" s="153">
        <f>R55+N55+J55+F55</f>
        <v>31079500</v>
      </c>
    </row>
    <row r="58" spans="1:19" s="55" customFormat="1" ht="15">
      <c r="A58" s="149" t="s">
        <v>205</v>
      </c>
      <c r="B58" s="154"/>
      <c r="F58" s="150"/>
      <c r="J58" s="150"/>
      <c r="N58" s="150"/>
      <c r="R58" s="150"/>
      <c r="S58" s="61"/>
    </row>
    <row r="59" spans="6:19" s="55" customFormat="1" ht="15">
      <c r="F59" s="150"/>
      <c r="J59" s="150"/>
      <c r="N59" s="150"/>
      <c r="R59" s="150"/>
      <c r="S59" s="61"/>
    </row>
    <row r="60" spans="1:19" s="55" customFormat="1" ht="15">
      <c r="A60" s="55" t="s">
        <v>206</v>
      </c>
      <c r="F60" s="150"/>
      <c r="J60" s="150"/>
      <c r="N60" s="150"/>
      <c r="R60" s="150"/>
      <c r="S60" s="61"/>
    </row>
    <row r="61" spans="6:19" s="55" customFormat="1" ht="15">
      <c r="F61" s="150"/>
      <c r="J61" s="150"/>
      <c r="N61" s="150"/>
      <c r="R61" s="150"/>
      <c r="S61" s="61"/>
    </row>
    <row r="62" spans="6:19" s="55" customFormat="1" ht="15">
      <c r="F62" s="150"/>
      <c r="J62" s="150"/>
      <c r="N62" s="150"/>
      <c r="R62" s="150"/>
      <c r="S62" s="61"/>
    </row>
    <row r="63" spans="1:19" s="55" customFormat="1" ht="15">
      <c r="A63" s="155" t="s">
        <v>207</v>
      </c>
      <c r="F63" s="150"/>
      <c r="J63" s="150"/>
      <c r="N63" s="150"/>
      <c r="R63" s="150"/>
      <c r="S63" s="61"/>
    </row>
    <row r="64" spans="1:21" s="128" customFormat="1" ht="15">
      <c r="A64" s="72" t="s">
        <v>208</v>
      </c>
      <c r="B64" s="72"/>
      <c r="C64" s="83"/>
      <c r="D64" s="83">
        <f>181532.84-121805.87</f>
        <v>59726.97</v>
      </c>
      <c r="E64" s="83">
        <f>136777.69+405879.41</f>
        <v>542657.1</v>
      </c>
      <c r="F64" s="72">
        <f>C64+D64+E64</f>
        <v>602384.07</v>
      </c>
      <c r="G64" s="83">
        <f>62113.23+53226.03-85187.2</f>
        <v>30152.060000000012</v>
      </c>
      <c r="H64" s="83">
        <f>135985-51543.48</f>
        <v>84441.51999999999</v>
      </c>
      <c r="I64" s="83">
        <f>51768.83-7130.26</f>
        <v>44638.57</v>
      </c>
      <c r="J64" s="72">
        <f>G64+H64+I64</f>
        <v>159232.15</v>
      </c>
      <c r="K64" s="83"/>
      <c r="L64" s="83"/>
      <c r="M64" s="83">
        <v>0</v>
      </c>
      <c r="N64" s="72">
        <f>K64+L64+M64</f>
        <v>0</v>
      </c>
      <c r="O64" s="83"/>
      <c r="P64" s="83">
        <v>108271.56</v>
      </c>
      <c r="Q64" s="83">
        <v>140863.28</v>
      </c>
      <c r="R64" s="72">
        <f>O64+P64+Q64</f>
        <v>249134.84</v>
      </c>
      <c r="S64" s="84">
        <f>R64+J64+F64+N64</f>
        <v>1010751.0599999999</v>
      </c>
      <c r="T64" s="129">
        <f>'[1]норматив'!$F$126+'[1]норматив'!$F$115</f>
        <v>1010751.06</v>
      </c>
      <c r="U64" s="129">
        <f>T64-S64</f>
        <v>0</v>
      </c>
    </row>
    <row r="65" spans="1:20" s="53" customFormat="1" ht="15">
      <c r="A65" s="156">
        <v>0.5</v>
      </c>
      <c r="B65" s="78"/>
      <c r="C65" s="78">
        <f>ROUND(C64*50%,2)</f>
        <v>0</v>
      </c>
      <c r="D65" s="78">
        <f>ROUND(D64*50%,2)</f>
        <v>29863.49</v>
      </c>
      <c r="E65" s="78">
        <f>ROUND(E64*50%,2)</f>
        <v>271328.55</v>
      </c>
      <c r="F65" s="78">
        <f aca="true" t="shared" si="24" ref="F65:F72">C65+D65+E65</f>
        <v>301192.04</v>
      </c>
      <c r="G65" s="78">
        <f>ROUND(G64*50%,2)</f>
        <v>15076.03</v>
      </c>
      <c r="H65" s="78">
        <f>ROUND(H64*50%,2)</f>
        <v>42220.76</v>
      </c>
      <c r="I65" s="78">
        <f>ROUND(I64*0.5,2)-0.06</f>
        <v>22319.23</v>
      </c>
      <c r="J65" s="78">
        <f aca="true" t="shared" si="25" ref="J65:J72">G65+H65+I65</f>
        <v>79616.02</v>
      </c>
      <c r="K65" s="78">
        <f>K64</f>
        <v>0</v>
      </c>
      <c r="L65" s="78">
        <f>L64</f>
        <v>0</v>
      </c>
      <c r="M65" s="78">
        <f>M64</f>
        <v>0</v>
      </c>
      <c r="N65" s="78">
        <f aca="true" t="shared" si="26" ref="N65:N72">K65+L65+M65</f>
        <v>0</v>
      </c>
      <c r="O65" s="78">
        <f>ROUND(O64*50%,2)</f>
        <v>0</v>
      </c>
      <c r="P65" s="78">
        <f>ROUND(P64*50%,2)</f>
        <v>54135.78</v>
      </c>
      <c r="Q65" s="78">
        <f>ROUND(Q64*0.5,2)</f>
        <v>70431.64</v>
      </c>
      <c r="R65" s="78">
        <f aca="true" t="shared" si="27" ref="R65:R71">O65+P65+Q65</f>
        <v>124567.42</v>
      </c>
      <c r="S65" s="79">
        <f aca="true" t="shared" si="28" ref="S65:S71">R65+J65+F65+N65</f>
        <v>505375.48</v>
      </c>
      <c r="T65" s="80">
        <f>'[1]норматив'!$F$126</f>
        <v>505375.58</v>
      </c>
    </row>
    <row r="66" spans="1:20" s="53" customFormat="1" ht="15">
      <c r="A66" s="156">
        <v>0.5</v>
      </c>
      <c r="B66" s="78"/>
      <c r="C66" s="78">
        <f>ROUND(C64*50%,2)</f>
        <v>0</v>
      </c>
      <c r="D66" s="78">
        <f>ROUND(D64*50%,2)</f>
        <v>29863.49</v>
      </c>
      <c r="E66" s="78">
        <f>ROUND(E64*50%,2)</f>
        <v>271328.55</v>
      </c>
      <c r="F66" s="78">
        <f>C66+D66+E66</f>
        <v>301192.04</v>
      </c>
      <c r="G66" s="78">
        <f>ROUND(G64*50%,2)</f>
        <v>15076.03</v>
      </c>
      <c r="H66" s="78">
        <f>ROUND(H64*50%,2)</f>
        <v>42220.76</v>
      </c>
      <c r="I66" s="78">
        <f>ROUND(I64*0.5,2)+0.04</f>
        <v>22319.33</v>
      </c>
      <c r="J66" s="78">
        <f t="shared" si="25"/>
        <v>79616.12</v>
      </c>
      <c r="K66" s="78"/>
      <c r="L66" s="78"/>
      <c r="M66" s="78"/>
      <c r="N66" s="78">
        <f t="shared" si="26"/>
        <v>0</v>
      </c>
      <c r="O66" s="78">
        <f>ROUND(O64*50%,2)</f>
        <v>0</v>
      </c>
      <c r="P66" s="78">
        <f>ROUND(P64*50%,2)</f>
        <v>54135.78</v>
      </c>
      <c r="Q66" s="78">
        <f>ROUND(Q64*0.5,2)</f>
        <v>70431.64</v>
      </c>
      <c r="R66" s="78">
        <f t="shared" si="27"/>
        <v>124567.42</v>
      </c>
      <c r="S66" s="79">
        <f t="shared" si="28"/>
        <v>505375.57999999996</v>
      </c>
      <c r="T66" s="80">
        <f>'[1]норматив'!$F$115</f>
        <v>505375.48</v>
      </c>
    </row>
    <row r="67" spans="1:21" s="128" customFormat="1" ht="15">
      <c r="A67" s="157" t="s">
        <v>209</v>
      </c>
      <c r="B67" s="72"/>
      <c r="C67" s="83">
        <v>5198.28</v>
      </c>
      <c r="D67" s="83">
        <v>7740.13</v>
      </c>
      <c r="E67" s="83">
        <v>5663.86</v>
      </c>
      <c r="F67" s="72">
        <f>C67+D67+E67</f>
        <v>18602.27</v>
      </c>
      <c r="G67" s="83">
        <v>7116.69</v>
      </c>
      <c r="H67" s="83">
        <v>6548.54</v>
      </c>
      <c r="I67" s="83">
        <v>1935.24</v>
      </c>
      <c r="J67" s="72">
        <f t="shared" si="25"/>
        <v>15600.47</v>
      </c>
      <c r="K67" s="83">
        <v>195.63</v>
      </c>
      <c r="L67" s="83">
        <v>3061.1</v>
      </c>
      <c r="M67" s="83">
        <v>10102.18</v>
      </c>
      <c r="N67" s="72">
        <f t="shared" si="26"/>
        <v>13358.91</v>
      </c>
      <c r="O67" s="83">
        <v>1873.05</v>
      </c>
      <c r="P67" s="83"/>
      <c r="Q67" s="83"/>
      <c r="R67" s="72">
        <f t="shared" si="27"/>
        <v>1873.05</v>
      </c>
      <c r="S67" s="84">
        <f t="shared" si="28"/>
        <v>49434.7</v>
      </c>
      <c r="T67" s="129">
        <f>'[1]норматив'!$F$114</f>
        <v>49434.7</v>
      </c>
      <c r="U67" s="129">
        <f>T67-S67</f>
        <v>0</v>
      </c>
    </row>
    <row r="68" spans="1:21" s="128" customFormat="1" ht="15">
      <c r="A68" s="72" t="s">
        <v>210</v>
      </c>
      <c r="B68" s="72"/>
      <c r="C68" s="83">
        <f>111913.23-7130.26</f>
        <v>104782.97</v>
      </c>
      <c r="D68" s="83">
        <v>147876.02</v>
      </c>
      <c r="E68" s="83">
        <v>97756.48</v>
      </c>
      <c r="F68" s="72">
        <f t="shared" si="24"/>
        <v>350415.47</v>
      </c>
      <c r="G68" s="83">
        <f>85187.2*2</f>
        <v>170374.4</v>
      </c>
      <c r="H68" s="83">
        <f>63832.97+51543.48</f>
        <v>115376.45000000001</v>
      </c>
      <c r="I68" s="83">
        <f>35977.22+7130.26-29101.15</f>
        <v>14006.330000000002</v>
      </c>
      <c r="J68" s="72">
        <f t="shared" si="25"/>
        <v>299757.18</v>
      </c>
      <c r="K68" s="83">
        <v>10877.52</v>
      </c>
      <c r="L68" s="83">
        <v>21847.48</v>
      </c>
      <c r="M68" s="83"/>
      <c r="N68" s="72">
        <f t="shared" si="26"/>
        <v>32725</v>
      </c>
      <c r="O68" s="83">
        <v>106805.92</v>
      </c>
      <c r="P68" s="83">
        <v>59402.41</v>
      </c>
      <c r="Q68" s="83"/>
      <c r="R68" s="72">
        <f t="shared" si="27"/>
        <v>166208.33000000002</v>
      </c>
      <c r="S68" s="84">
        <f t="shared" si="28"/>
        <v>849105.98</v>
      </c>
      <c r="T68" s="80">
        <f>'[1]норматив'!$F$116+'[1]норматив'!$F$127</f>
        <v>849105.98</v>
      </c>
      <c r="U68" s="129">
        <f>T68-S68</f>
        <v>0</v>
      </c>
    </row>
    <row r="69" spans="1:20" s="53" customFormat="1" ht="15">
      <c r="A69" s="156">
        <v>0.9</v>
      </c>
      <c r="B69" s="78"/>
      <c r="C69" s="78">
        <f>ROUND(C68*90%,2)</f>
        <v>94304.67</v>
      </c>
      <c r="D69" s="78">
        <f>ROUND(D68*90%,2)</f>
        <v>133088.42</v>
      </c>
      <c r="E69" s="78">
        <f>ROUND(E68*90%,2)</f>
        <v>87980.83</v>
      </c>
      <c r="F69" s="78">
        <f t="shared" si="24"/>
        <v>315373.92000000004</v>
      </c>
      <c r="G69" s="78">
        <f>ROUND(G68*90%,2)</f>
        <v>153336.96</v>
      </c>
      <c r="H69" s="78">
        <f>ROUND(H68*90%,2)</f>
        <v>103838.81</v>
      </c>
      <c r="I69" s="78">
        <f>ROUND(I68*0.9,2)+1.25</f>
        <v>12606.95</v>
      </c>
      <c r="J69" s="78">
        <f t="shared" si="25"/>
        <v>269782.72</v>
      </c>
      <c r="K69" s="78">
        <f>ROUND(K68*90%,2)</f>
        <v>9789.77</v>
      </c>
      <c r="L69" s="78">
        <f>ROUND(L68*90%,2)</f>
        <v>19662.73</v>
      </c>
      <c r="M69" s="78">
        <f>ROUND(M68*90%,2)</f>
        <v>0</v>
      </c>
      <c r="N69" s="78">
        <f t="shared" si="26"/>
        <v>29452.5</v>
      </c>
      <c r="O69" s="78">
        <f>ROUND(O68*90%,2)</f>
        <v>96125.33</v>
      </c>
      <c r="P69" s="78">
        <f>ROUND(P68*90%,2)-1.76</f>
        <v>53460.409999999996</v>
      </c>
      <c r="Q69" s="78">
        <f>ROUND(Q68*0.9,2)</f>
        <v>0</v>
      </c>
      <c r="R69" s="78">
        <f t="shared" si="27"/>
        <v>149585.74</v>
      </c>
      <c r="S69" s="79">
        <f>R69+J69+F69+N69</f>
        <v>764194.88</v>
      </c>
      <c r="T69" s="80">
        <f>'[1]норматив'!$F$116</f>
        <v>764194.88</v>
      </c>
    </row>
    <row r="70" spans="1:20" s="53" customFormat="1" ht="15">
      <c r="A70" s="156">
        <v>0.1</v>
      </c>
      <c r="B70" s="78"/>
      <c r="C70" s="78">
        <f>ROUND(C68*10%,2)</f>
        <v>10478.3</v>
      </c>
      <c r="D70" s="78">
        <f>ROUND(D68*10%,2)</f>
        <v>14787.6</v>
      </c>
      <c r="E70" s="78">
        <f>ROUND(E68*10%,2)</f>
        <v>9775.65</v>
      </c>
      <c r="F70" s="78">
        <f t="shared" si="24"/>
        <v>35041.55</v>
      </c>
      <c r="G70" s="78">
        <f>ROUND(G68*10%,2)</f>
        <v>17037.44</v>
      </c>
      <c r="H70" s="78">
        <f>ROUND(H68*10%,2)</f>
        <v>11537.65</v>
      </c>
      <c r="I70" s="78">
        <f>ROUND(I68*0.1,2)-1.26</f>
        <v>1399.3700000000001</v>
      </c>
      <c r="J70" s="78">
        <f t="shared" si="25"/>
        <v>29974.459999999995</v>
      </c>
      <c r="K70" s="78">
        <f>ROUND(K68*10%,2)</f>
        <v>1087.75</v>
      </c>
      <c r="L70" s="78">
        <f>ROUND(L68*10%,2)</f>
        <v>2184.75</v>
      </c>
      <c r="M70" s="78">
        <f>ROUND(M68*10%,2)</f>
        <v>0</v>
      </c>
      <c r="N70" s="78">
        <f t="shared" si="26"/>
        <v>3272.5</v>
      </c>
      <c r="O70" s="78">
        <f>ROUND(O68*10%,2)</f>
        <v>10680.59</v>
      </c>
      <c r="P70" s="78">
        <f>ROUND(P68*10%,2)+1.76</f>
        <v>5942</v>
      </c>
      <c r="Q70" s="78">
        <f>ROUND(Q68*0.1,2)</f>
        <v>0</v>
      </c>
      <c r="R70" s="78">
        <f t="shared" si="27"/>
        <v>16622.59</v>
      </c>
      <c r="S70" s="79">
        <f>R70+J70+F70+N70</f>
        <v>84911.1</v>
      </c>
      <c r="T70" s="80">
        <f>'[1]норматив'!$F$127</f>
        <v>84911.09999999999</v>
      </c>
    </row>
    <row r="71" spans="1:21" s="128" customFormat="1" ht="15">
      <c r="A71" s="72" t="s">
        <v>211</v>
      </c>
      <c r="B71" s="72"/>
      <c r="C71" s="83">
        <f>5008.77+4109.98</f>
        <v>9118.75</v>
      </c>
      <c r="D71" s="83">
        <f>5208.55+4157.33</f>
        <v>9365.880000000001</v>
      </c>
      <c r="E71" s="83">
        <f>2882.54+2519.02</f>
        <v>5401.5599999999995</v>
      </c>
      <c r="F71" s="72">
        <f t="shared" si="24"/>
        <v>23886.190000000002</v>
      </c>
      <c r="G71" s="83">
        <f>3053.78+2433.79</f>
        <v>5487.57</v>
      </c>
      <c r="H71" s="83">
        <f>3695.93+3068.28</f>
        <v>6764.21</v>
      </c>
      <c r="I71" s="83">
        <f>3795.82+2717.89+29101.15</f>
        <v>35614.86</v>
      </c>
      <c r="J71" s="72">
        <f t="shared" si="25"/>
        <v>47866.64</v>
      </c>
      <c r="K71" s="83">
        <v>6914.2</v>
      </c>
      <c r="L71" s="83">
        <v>7982.68</v>
      </c>
      <c r="M71" s="83">
        <v>5944.55</v>
      </c>
      <c r="N71" s="72">
        <f t="shared" si="26"/>
        <v>20841.43</v>
      </c>
      <c r="O71" s="83">
        <v>2160</v>
      </c>
      <c r="P71" s="83"/>
      <c r="Q71" s="83"/>
      <c r="R71" s="72">
        <f t="shared" si="27"/>
        <v>2160</v>
      </c>
      <c r="S71" s="84">
        <f t="shared" si="28"/>
        <v>94754.26000000001</v>
      </c>
      <c r="T71" s="129">
        <f>'[1]норматив'!$F$112+'[1]норматив'!$F$113</f>
        <v>94754.26</v>
      </c>
      <c r="U71" s="129">
        <f>T71-S71</f>
        <v>0</v>
      </c>
    </row>
    <row r="72" spans="1:19" s="128" customFormat="1" ht="15">
      <c r="A72" s="72"/>
      <c r="B72" s="72"/>
      <c r="C72" s="83"/>
      <c r="D72" s="83"/>
      <c r="E72" s="83"/>
      <c r="F72" s="72">
        <f t="shared" si="24"/>
        <v>0</v>
      </c>
      <c r="G72" s="83"/>
      <c r="H72" s="83"/>
      <c r="I72" s="83"/>
      <c r="J72" s="72">
        <f t="shared" si="25"/>
        <v>0</v>
      </c>
      <c r="K72" s="83"/>
      <c r="L72" s="83"/>
      <c r="M72" s="83"/>
      <c r="N72" s="72">
        <f t="shared" si="26"/>
        <v>0</v>
      </c>
      <c r="O72" s="83"/>
      <c r="P72" s="83"/>
      <c r="Q72" s="83"/>
      <c r="R72" s="72">
        <f>O72+P72+Q72</f>
        <v>0</v>
      </c>
      <c r="S72" s="84">
        <f>R72+J72+F72+N72</f>
        <v>0</v>
      </c>
    </row>
    <row r="73" spans="1:21" s="53" customFormat="1" ht="15">
      <c r="A73" s="78">
        <v>223</v>
      </c>
      <c r="B73" s="78"/>
      <c r="C73" s="78">
        <f>C64+C68+C71+C67+C72</f>
        <v>119100</v>
      </c>
      <c r="D73" s="78">
        <f>D64+D68+D71+D67+D72</f>
        <v>224709</v>
      </c>
      <c r="E73" s="78">
        <f>E64+E68+E71+E67+E72</f>
        <v>651479</v>
      </c>
      <c r="F73" s="78">
        <f>F64+F68+F71+F67+F72</f>
        <v>995288</v>
      </c>
      <c r="G73" s="78">
        <f aca="true" t="shared" si="29" ref="G73:Q73">G64+G68+G71+G67+G72</f>
        <v>213130.72000000003</v>
      </c>
      <c r="H73" s="78">
        <f t="shared" si="29"/>
        <v>213130.72</v>
      </c>
      <c r="I73" s="78">
        <f t="shared" si="29"/>
        <v>96195.00000000001</v>
      </c>
      <c r="J73" s="78">
        <f t="shared" si="29"/>
        <v>522456.43999999994</v>
      </c>
      <c r="K73" s="78">
        <f t="shared" si="29"/>
        <v>17987.350000000002</v>
      </c>
      <c r="L73" s="78">
        <f t="shared" si="29"/>
        <v>32891.26</v>
      </c>
      <c r="M73" s="78">
        <f t="shared" si="29"/>
        <v>16046.73</v>
      </c>
      <c r="N73" s="78">
        <f t="shared" si="29"/>
        <v>66925.34</v>
      </c>
      <c r="O73" s="78">
        <f t="shared" si="29"/>
        <v>110838.97</v>
      </c>
      <c r="P73" s="78">
        <f t="shared" si="29"/>
        <v>167673.97</v>
      </c>
      <c r="Q73" s="78">
        <f t="shared" si="29"/>
        <v>140863.28</v>
      </c>
      <c r="R73" s="78">
        <f>R64+R68+R71+R67+R72</f>
        <v>419376.22000000003</v>
      </c>
      <c r="S73" s="79">
        <f>S64+S68+S71+S67+S72</f>
        <v>2004046</v>
      </c>
      <c r="T73" s="80">
        <f>T64+T67+T68+T71</f>
        <v>2004046</v>
      </c>
      <c r="U73" s="80">
        <f>T73-S73</f>
        <v>0</v>
      </c>
    </row>
    <row r="74" spans="6:20" ht="15">
      <c r="F74" s="53">
        <v>995288</v>
      </c>
      <c r="J74" s="53">
        <v>522456.44</v>
      </c>
      <c r="T74" s="54">
        <f>T64+T67+T68+T71</f>
        <v>2004046</v>
      </c>
    </row>
    <row r="75" spans="6:10" ht="15">
      <c r="F75" s="53">
        <f>F74-F73</f>
        <v>0</v>
      </c>
      <c r="J75" s="53">
        <f>J74-J73</f>
        <v>0</v>
      </c>
    </row>
  </sheetData>
  <sheetProtection/>
  <mergeCells count="3">
    <mergeCell ref="A1:S1"/>
    <mergeCell ref="B2:B3"/>
    <mergeCell ref="C2:R2"/>
  </mergeCells>
  <printOptions/>
  <pageMargins left="0" right="0" top="0" bottom="0" header="0.11811023622047245" footer="0.11811023622047245"/>
  <pageSetup horizontalDpi="300" verticalDpi="300" orientation="landscape" paperSize="9" scale="4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1"/>
  <sheetViews>
    <sheetView zoomScaleSheetLayoutView="100" zoomScalePageLayoutView="0" workbookViewId="0" topLeftCell="A62">
      <selection activeCell="D236" activeCellId="1" sqref="D119:I119 D236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5.28125" style="1" customWidth="1"/>
    <col min="6" max="6" width="5.7109375" style="1" customWidth="1"/>
    <col min="7" max="7" width="6.28125" style="1" customWidth="1"/>
    <col min="8" max="9" width="5.8515625" style="1" customWidth="1"/>
    <col min="10" max="10" width="6.140625" style="1" customWidth="1"/>
    <col min="11" max="11" width="8.421875" style="1" customWidth="1"/>
    <col min="12" max="12" width="6.7109375" style="1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0.28125" style="1" customWidth="1"/>
    <col min="19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5" hidden="1"/>
    <row r="12" spans="1:18" ht="15" customHeight="1">
      <c r="A12" s="204" t="s">
        <v>10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</row>
    <row r="13" spans="1:18" ht="15">
      <c r="A13" s="205" t="s">
        <v>11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18" ht="15">
      <c r="A14" s="205" t="s">
        <v>212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</row>
    <row r="17" spans="2:23" ht="15">
      <c r="B17" s="1" t="s">
        <v>213</v>
      </c>
      <c r="I17" s="3"/>
      <c r="J17" s="3"/>
      <c r="K17" s="3"/>
      <c r="L17" s="3"/>
      <c r="M17" s="3"/>
      <c r="N17" s="3"/>
      <c r="O17" s="3"/>
      <c r="S17" s="4"/>
      <c r="T17" s="4"/>
      <c r="U17" s="4"/>
      <c r="V17" s="4"/>
      <c r="W17" s="4"/>
    </row>
    <row r="19" ht="15">
      <c r="B19" s="1" t="s">
        <v>14</v>
      </c>
    </row>
    <row r="21" spans="1:18" ht="93" customHeight="1">
      <c r="A21" s="5" t="s">
        <v>15</v>
      </c>
      <c r="B21" s="5" t="s">
        <v>16</v>
      </c>
      <c r="C21" s="5" t="s">
        <v>17</v>
      </c>
      <c r="D21" s="202" t="s">
        <v>18</v>
      </c>
      <c r="E21" s="202"/>
      <c r="F21" s="202" t="s">
        <v>19</v>
      </c>
      <c r="G21" s="202"/>
      <c r="H21" s="202" t="s">
        <v>20</v>
      </c>
      <c r="I21" s="202"/>
      <c r="J21" s="202" t="s">
        <v>21</v>
      </c>
      <c r="K21" s="202"/>
      <c r="L21" s="202" t="s">
        <v>22</v>
      </c>
      <c r="M21" s="202"/>
      <c r="N21" s="202" t="s">
        <v>23</v>
      </c>
      <c r="O21" s="202"/>
      <c r="P21" s="5" t="s">
        <v>24</v>
      </c>
      <c r="Q21" s="202" t="s">
        <v>25</v>
      </c>
      <c r="R21" s="202"/>
    </row>
    <row r="22" spans="1:18" s="6" customFormat="1" ht="222" customHeight="1">
      <c r="A22" s="249">
        <v>1</v>
      </c>
      <c r="B22" s="249" t="s">
        <v>26</v>
      </c>
      <c r="C22" s="250" t="s">
        <v>214</v>
      </c>
      <c r="D22" s="249" t="s">
        <v>28</v>
      </c>
      <c r="E22" s="249"/>
      <c r="F22" s="250" t="s">
        <v>215</v>
      </c>
      <c r="G22" s="250"/>
      <c r="H22" s="250" t="s">
        <v>30</v>
      </c>
      <c r="I22" s="250"/>
      <c r="J22" s="251" t="s">
        <v>216</v>
      </c>
      <c r="K22" s="251"/>
      <c r="L22" s="249" t="s">
        <v>32</v>
      </c>
      <c r="M22" s="249"/>
      <c r="N22" s="249" t="s">
        <v>33</v>
      </c>
      <c r="O22" s="249"/>
      <c r="P22" s="251" t="s">
        <v>45</v>
      </c>
      <c r="Q22" s="251" t="s">
        <v>217</v>
      </c>
      <c r="R22" s="251"/>
    </row>
    <row r="23" spans="1:18" s="6" customFormat="1" ht="60.75" customHeight="1">
      <c r="A23" s="249"/>
      <c r="B23" s="249"/>
      <c r="C23" s="250"/>
      <c r="D23" s="249"/>
      <c r="E23" s="249"/>
      <c r="F23" s="250"/>
      <c r="G23" s="250"/>
      <c r="H23" s="250"/>
      <c r="I23" s="250"/>
      <c r="J23" s="251"/>
      <c r="K23" s="251"/>
      <c r="L23" s="249"/>
      <c r="M23" s="249"/>
      <c r="N23" s="249"/>
      <c r="O23" s="249"/>
      <c r="P23" s="251"/>
      <c r="Q23" s="251"/>
      <c r="R23" s="251"/>
    </row>
    <row r="24" spans="1:18" s="6" customFormat="1" ht="60.75" customHeight="1">
      <c r="A24" s="249"/>
      <c r="B24" s="249"/>
      <c r="C24" s="250"/>
      <c r="D24" s="249"/>
      <c r="E24" s="249"/>
      <c r="F24" s="250"/>
      <c r="G24" s="250"/>
      <c r="H24" s="250"/>
      <c r="I24" s="250"/>
      <c r="J24" s="251"/>
      <c r="K24" s="251"/>
      <c r="L24" s="249"/>
      <c r="M24" s="249"/>
      <c r="N24" s="249"/>
      <c r="O24" s="249"/>
      <c r="P24" s="251"/>
      <c r="Q24" s="251"/>
      <c r="R24" s="251"/>
    </row>
    <row r="25" spans="1:18" s="6" customFormat="1" ht="60.75" customHeight="1">
      <c r="A25" s="249"/>
      <c r="B25" s="249"/>
      <c r="C25" s="250"/>
      <c r="D25" s="249"/>
      <c r="E25" s="249"/>
      <c r="F25" s="250"/>
      <c r="G25" s="250"/>
      <c r="H25" s="250"/>
      <c r="I25" s="250"/>
      <c r="J25" s="251"/>
      <c r="K25" s="251"/>
      <c r="L25" s="249"/>
      <c r="M25" s="249"/>
      <c r="N25" s="249"/>
      <c r="O25" s="249"/>
      <c r="P25" s="251"/>
      <c r="Q25" s="251"/>
      <c r="R25" s="251"/>
    </row>
    <row r="26" spans="1:18" s="6" customFormat="1" ht="60.75" customHeight="1">
      <c r="A26" s="249"/>
      <c r="B26" s="249"/>
      <c r="C26" s="250"/>
      <c r="D26" s="249"/>
      <c r="E26" s="249"/>
      <c r="F26" s="250"/>
      <c r="G26" s="250"/>
      <c r="H26" s="250"/>
      <c r="I26" s="250"/>
      <c r="J26" s="251"/>
      <c r="K26" s="251"/>
      <c r="L26" s="249"/>
      <c r="M26" s="249"/>
      <c r="N26" s="249"/>
      <c r="O26" s="249"/>
      <c r="P26" s="251"/>
      <c r="Q26" s="251"/>
      <c r="R26" s="251"/>
    </row>
    <row r="27" spans="1:18" s="6" customFormat="1" ht="60.75" customHeight="1">
      <c r="A27" s="249"/>
      <c r="B27" s="249"/>
      <c r="C27" s="250"/>
      <c r="D27" s="249"/>
      <c r="E27" s="249"/>
      <c r="F27" s="250"/>
      <c r="G27" s="250"/>
      <c r="H27" s="250"/>
      <c r="I27" s="250"/>
      <c r="J27" s="251"/>
      <c r="K27" s="251"/>
      <c r="L27" s="249"/>
      <c r="M27" s="249"/>
      <c r="N27" s="249"/>
      <c r="O27" s="249"/>
      <c r="P27" s="251"/>
      <c r="Q27" s="251"/>
      <c r="R27" s="251"/>
    </row>
    <row r="28" spans="1:18" s="6" customFormat="1" ht="60.75" customHeight="1">
      <c r="A28" s="249"/>
      <c r="B28" s="249"/>
      <c r="C28" s="250"/>
      <c r="D28" s="249"/>
      <c r="E28" s="249"/>
      <c r="F28" s="250"/>
      <c r="G28" s="250"/>
      <c r="H28" s="250"/>
      <c r="I28" s="250"/>
      <c r="J28" s="251"/>
      <c r="K28" s="251"/>
      <c r="L28" s="249"/>
      <c r="M28" s="249"/>
      <c r="N28" s="249"/>
      <c r="O28" s="249"/>
      <c r="P28" s="251"/>
      <c r="Q28" s="251"/>
      <c r="R28" s="251"/>
    </row>
    <row r="29" spans="1:18" s="6" customFormat="1" ht="60.75" customHeight="1">
      <c r="A29" s="249"/>
      <c r="B29" s="249"/>
      <c r="C29" s="250"/>
      <c r="D29" s="249"/>
      <c r="E29" s="249"/>
      <c r="F29" s="250"/>
      <c r="G29" s="250"/>
      <c r="H29" s="250"/>
      <c r="I29" s="250"/>
      <c r="J29" s="251"/>
      <c r="K29" s="251"/>
      <c r="L29" s="249"/>
      <c r="M29" s="249"/>
      <c r="N29" s="249"/>
      <c r="O29" s="249"/>
      <c r="P29" s="251"/>
      <c r="Q29" s="251"/>
      <c r="R29" s="251"/>
    </row>
    <row r="30" spans="1:18" s="6" customFormat="1" ht="35.25" customHeight="1">
      <c r="A30" s="249"/>
      <c r="B30" s="249"/>
      <c r="C30" s="250"/>
      <c r="D30" s="249"/>
      <c r="E30" s="249"/>
      <c r="F30" s="250"/>
      <c r="G30" s="250"/>
      <c r="H30" s="250"/>
      <c r="I30" s="250"/>
      <c r="J30" s="251"/>
      <c r="K30" s="251"/>
      <c r="L30" s="249"/>
      <c r="M30" s="249"/>
      <c r="N30" s="249"/>
      <c r="O30" s="249"/>
      <c r="P30" s="251"/>
      <c r="Q30" s="251"/>
      <c r="R30" s="251"/>
    </row>
    <row r="31" spans="1:18" s="6" customFormat="1" ht="12.75" customHeight="1" hidden="1">
      <c r="A31" s="249"/>
      <c r="B31" s="249"/>
      <c r="C31" s="250"/>
      <c r="D31" s="249"/>
      <c r="E31" s="249"/>
      <c r="F31" s="250"/>
      <c r="G31" s="250"/>
      <c r="H31" s="250"/>
      <c r="I31" s="250"/>
      <c r="J31" s="251"/>
      <c r="K31" s="251"/>
      <c r="L31" s="249"/>
      <c r="M31" s="249"/>
      <c r="N31" s="249"/>
      <c r="O31" s="249"/>
      <c r="P31" s="251"/>
      <c r="Q31" s="251"/>
      <c r="R31" s="251"/>
    </row>
    <row r="32" spans="1:18" s="6" customFormat="1" ht="30.75" customHeight="1">
      <c r="A32" s="249"/>
      <c r="B32" s="249"/>
      <c r="C32" s="250"/>
      <c r="D32" s="249"/>
      <c r="E32" s="249"/>
      <c r="F32" s="250"/>
      <c r="G32" s="250"/>
      <c r="H32" s="250"/>
      <c r="I32" s="250"/>
      <c r="J32" s="251"/>
      <c r="K32" s="251"/>
      <c r="L32" s="249"/>
      <c r="M32" s="249"/>
      <c r="N32" s="249"/>
      <c r="O32" s="249"/>
      <c r="P32" s="251"/>
      <c r="Q32" s="251"/>
      <c r="R32" s="251"/>
    </row>
    <row r="35" ht="15">
      <c r="B35" s="1" t="s">
        <v>36</v>
      </c>
    </row>
    <row r="37" spans="1:18" ht="15" customHeight="1">
      <c r="A37" s="202" t="s">
        <v>16</v>
      </c>
      <c r="B37" s="202"/>
      <c r="C37" s="202" t="s">
        <v>37</v>
      </c>
      <c r="D37" s="206" t="s">
        <v>38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28.5" customHeight="1">
      <c r="A38" s="202"/>
      <c r="B38" s="202"/>
      <c r="C38" s="202"/>
      <c r="D38" s="206" t="s">
        <v>39</v>
      </c>
      <c r="E38" s="206"/>
      <c r="F38" s="206"/>
      <c r="G38" s="206"/>
      <c r="H38" s="206"/>
      <c r="I38" s="206"/>
      <c r="J38" s="206" t="s">
        <v>40</v>
      </c>
      <c r="K38" s="206"/>
      <c r="L38" s="206"/>
      <c r="M38" s="206"/>
      <c r="N38" s="206"/>
      <c r="O38" s="206"/>
      <c r="P38" s="206" t="s">
        <v>41</v>
      </c>
      <c r="Q38" s="206"/>
      <c r="R38" s="206"/>
    </row>
    <row r="39" spans="1:19" ht="83.25" customHeight="1">
      <c r="A39" s="202"/>
      <c r="B39" s="202"/>
      <c r="C39" s="202"/>
      <c r="D39" s="202" t="s">
        <v>42</v>
      </c>
      <c r="E39" s="202"/>
      <c r="F39" s="202" t="s">
        <v>43</v>
      </c>
      <c r="G39" s="202"/>
      <c r="H39" s="202" t="s">
        <v>44</v>
      </c>
      <c r="I39" s="202"/>
      <c r="J39" s="202" t="s">
        <v>42</v>
      </c>
      <c r="K39" s="202"/>
      <c r="L39" s="202" t="s">
        <v>43</v>
      </c>
      <c r="M39" s="202"/>
      <c r="N39" s="202" t="s">
        <v>44</v>
      </c>
      <c r="O39" s="202"/>
      <c r="P39" s="8" t="s">
        <v>42</v>
      </c>
      <c r="Q39" s="8" t="s">
        <v>43</v>
      </c>
      <c r="R39" s="8" t="s">
        <v>44</v>
      </c>
      <c r="S39" s="9"/>
    </row>
    <row r="40" spans="1:18" s="10" customFormat="1" ht="199.5" customHeight="1">
      <c r="A40" s="256" t="s">
        <v>26</v>
      </c>
      <c r="B40" s="256"/>
      <c r="C40" s="251" t="s">
        <v>45</v>
      </c>
      <c r="D40" s="255" t="s">
        <v>46</v>
      </c>
      <c r="E40" s="255"/>
      <c r="F40" s="255" t="s">
        <v>47</v>
      </c>
      <c r="G40" s="255"/>
      <c r="H40" s="253"/>
      <c r="I40" s="253"/>
      <c r="J40" s="254"/>
      <c r="K40" s="254"/>
      <c r="L40" s="253"/>
      <c r="M40" s="253"/>
      <c r="N40" s="254"/>
      <c r="O40" s="254"/>
      <c r="P40" s="158" t="s">
        <v>48</v>
      </c>
      <c r="Q40" s="159" t="s">
        <v>49</v>
      </c>
      <c r="R40" s="160"/>
    </row>
    <row r="41" spans="1:18" s="10" customFormat="1" ht="10.5" customHeight="1">
      <c r="A41" s="256"/>
      <c r="B41" s="256"/>
      <c r="C41" s="251"/>
      <c r="D41" s="252"/>
      <c r="E41" s="252"/>
      <c r="F41" s="252"/>
      <c r="G41" s="252"/>
      <c r="H41" s="161"/>
      <c r="I41" s="162"/>
      <c r="J41" s="163"/>
      <c r="K41" s="163"/>
      <c r="L41" s="161"/>
      <c r="M41" s="162"/>
      <c r="N41" s="163"/>
      <c r="O41" s="163"/>
      <c r="P41" s="164"/>
      <c r="Q41" s="165"/>
      <c r="R41" s="166"/>
    </row>
    <row r="42" spans="1:18" s="10" customFormat="1" ht="10.5" customHeight="1">
      <c r="A42" s="256"/>
      <c r="B42" s="256"/>
      <c r="C42" s="251"/>
      <c r="D42" s="252"/>
      <c r="E42" s="252"/>
      <c r="F42" s="252"/>
      <c r="G42" s="252"/>
      <c r="H42" s="161"/>
      <c r="I42" s="162"/>
      <c r="J42" s="163"/>
      <c r="K42" s="163"/>
      <c r="L42" s="161"/>
      <c r="M42" s="162"/>
      <c r="N42" s="163"/>
      <c r="O42" s="163"/>
      <c r="P42" s="164"/>
      <c r="Q42" s="165"/>
      <c r="R42" s="166"/>
    </row>
    <row r="43" spans="1:18" s="10" customFormat="1" ht="10.5" customHeight="1">
      <c r="A43" s="256"/>
      <c r="B43" s="256"/>
      <c r="C43" s="251"/>
      <c r="D43" s="252"/>
      <c r="E43" s="252"/>
      <c r="F43" s="252"/>
      <c r="G43" s="252"/>
      <c r="H43" s="161"/>
      <c r="I43" s="162"/>
      <c r="J43" s="163"/>
      <c r="K43" s="163"/>
      <c r="L43" s="161"/>
      <c r="M43" s="162"/>
      <c r="N43" s="163"/>
      <c r="O43" s="163"/>
      <c r="P43" s="164"/>
      <c r="Q43" s="165"/>
      <c r="R43" s="166"/>
    </row>
    <row r="44" spans="1:18" s="10" customFormat="1" ht="10.5" customHeight="1">
      <c r="A44" s="256"/>
      <c r="B44" s="256"/>
      <c r="C44" s="251"/>
      <c r="D44" s="252"/>
      <c r="E44" s="252"/>
      <c r="F44" s="252"/>
      <c r="G44" s="252"/>
      <c r="H44" s="161"/>
      <c r="I44" s="162"/>
      <c r="J44" s="163"/>
      <c r="K44" s="163"/>
      <c r="L44" s="161"/>
      <c r="M44" s="162"/>
      <c r="N44" s="163"/>
      <c r="O44" s="163"/>
      <c r="P44" s="164"/>
      <c r="Q44" s="165"/>
      <c r="R44" s="166"/>
    </row>
    <row r="45" spans="1:18" s="10" customFormat="1" ht="10.5" customHeight="1">
      <c r="A45" s="256"/>
      <c r="B45" s="256"/>
      <c r="C45" s="251"/>
      <c r="D45" s="252"/>
      <c r="E45" s="252"/>
      <c r="F45" s="252"/>
      <c r="G45" s="252"/>
      <c r="H45" s="161"/>
      <c r="I45" s="162"/>
      <c r="J45" s="163"/>
      <c r="K45" s="163"/>
      <c r="L45" s="161"/>
      <c r="M45" s="162"/>
      <c r="N45" s="163"/>
      <c r="O45" s="163"/>
      <c r="P45" s="164"/>
      <c r="Q45" s="165"/>
      <c r="R45" s="166"/>
    </row>
    <row r="46" spans="1:18" s="10" customFormat="1" ht="10.5" customHeight="1">
      <c r="A46" s="256"/>
      <c r="B46" s="256"/>
      <c r="C46" s="251"/>
      <c r="D46" s="252"/>
      <c r="E46" s="252"/>
      <c r="F46" s="252"/>
      <c r="G46" s="252"/>
      <c r="H46" s="161"/>
      <c r="I46" s="162"/>
      <c r="J46" s="163"/>
      <c r="K46" s="163"/>
      <c r="L46" s="161"/>
      <c r="M46" s="162"/>
      <c r="N46" s="163"/>
      <c r="O46" s="163"/>
      <c r="P46" s="164"/>
      <c r="Q46" s="165"/>
      <c r="R46" s="166"/>
    </row>
    <row r="47" spans="1:18" s="10" customFormat="1" ht="10.5" customHeight="1">
      <c r="A47" s="256"/>
      <c r="B47" s="256"/>
      <c r="C47" s="251"/>
      <c r="D47" s="252"/>
      <c r="E47" s="252"/>
      <c r="F47" s="252"/>
      <c r="G47" s="252"/>
      <c r="H47" s="161"/>
      <c r="I47" s="162"/>
      <c r="J47" s="163"/>
      <c r="K47" s="163"/>
      <c r="L47" s="161"/>
      <c r="M47" s="162"/>
      <c r="N47" s="163"/>
      <c r="O47" s="163"/>
      <c r="P47" s="164"/>
      <c r="Q47" s="165"/>
      <c r="R47" s="166"/>
    </row>
    <row r="48" spans="1:18" s="10" customFormat="1" ht="10.5" customHeight="1">
      <c r="A48" s="256"/>
      <c r="B48" s="256"/>
      <c r="C48" s="251"/>
      <c r="D48" s="252"/>
      <c r="E48" s="252"/>
      <c r="F48" s="252"/>
      <c r="G48" s="252"/>
      <c r="H48" s="161"/>
      <c r="I48" s="162"/>
      <c r="J48" s="163"/>
      <c r="K48" s="163"/>
      <c r="L48" s="161"/>
      <c r="M48" s="162"/>
      <c r="N48" s="163"/>
      <c r="O48" s="163"/>
      <c r="P48" s="164"/>
      <c r="Q48" s="165"/>
      <c r="R48" s="166"/>
    </row>
    <row r="49" spans="1:18" s="10" customFormat="1" ht="10.5" customHeight="1">
      <c r="A49" s="256"/>
      <c r="B49" s="256"/>
      <c r="C49" s="251"/>
      <c r="D49" s="252"/>
      <c r="E49" s="252"/>
      <c r="F49" s="252"/>
      <c r="G49" s="252"/>
      <c r="H49" s="161"/>
      <c r="I49" s="162"/>
      <c r="J49" s="163"/>
      <c r="K49" s="163"/>
      <c r="L49" s="161"/>
      <c r="M49" s="162"/>
      <c r="N49" s="163"/>
      <c r="O49" s="163"/>
      <c r="P49" s="164"/>
      <c r="Q49" s="165"/>
      <c r="R49" s="166"/>
    </row>
    <row r="50" spans="1:18" s="10" customFormat="1" ht="10.5" customHeight="1">
      <c r="A50" s="256"/>
      <c r="B50" s="256"/>
      <c r="C50" s="251"/>
      <c r="D50" s="252"/>
      <c r="E50" s="252"/>
      <c r="F50" s="252"/>
      <c r="G50" s="252"/>
      <c r="H50" s="161"/>
      <c r="I50" s="162"/>
      <c r="J50" s="163"/>
      <c r="K50" s="163"/>
      <c r="L50" s="161"/>
      <c r="M50" s="162"/>
      <c r="N50" s="163"/>
      <c r="O50" s="163"/>
      <c r="P50" s="164"/>
      <c r="Q50" s="165"/>
      <c r="R50" s="166"/>
    </row>
    <row r="51" spans="1:18" s="10" customFormat="1" ht="10.5" customHeight="1">
      <c r="A51" s="256"/>
      <c r="B51" s="256"/>
      <c r="C51" s="251"/>
      <c r="D51" s="252"/>
      <c r="E51" s="252"/>
      <c r="F51" s="252"/>
      <c r="G51" s="252"/>
      <c r="H51" s="161"/>
      <c r="I51" s="162"/>
      <c r="J51" s="163"/>
      <c r="K51" s="163"/>
      <c r="L51" s="161"/>
      <c r="M51" s="162"/>
      <c r="N51" s="163"/>
      <c r="O51" s="163"/>
      <c r="P51" s="164"/>
      <c r="Q51" s="165"/>
      <c r="R51" s="166"/>
    </row>
    <row r="52" spans="1:18" s="10" customFormat="1" ht="10.5" customHeight="1">
      <c r="A52" s="256"/>
      <c r="B52" s="256"/>
      <c r="C52" s="251"/>
      <c r="D52" s="252"/>
      <c r="E52" s="252"/>
      <c r="F52" s="252"/>
      <c r="G52" s="252"/>
      <c r="H52" s="161"/>
      <c r="I52" s="162"/>
      <c r="J52" s="163"/>
      <c r="K52" s="163"/>
      <c r="L52" s="161"/>
      <c r="M52" s="162"/>
      <c r="N52" s="163"/>
      <c r="O52" s="163"/>
      <c r="P52" s="164"/>
      <c r="Q52" s="165"/>
      <c r="R52" s="166"/>
    </row>
    <row r="53" spans="1:18" s="10" customFormat="1" ht="10.5" customHeight="1">
      <c r="A53" s="256"/>
      <c r="B53" s="256"/>
      <c r="C53" s="251"/>
      <c r="D53" s="252"/>
      <c r="E53" s="252"/>
      <c r="F53" s="252"/>
      <c r="G53" s="252"/>
      <c r="H53" s="161"/>
      <c r="I53" s="162"/>
      <c r="J53" s="163"/>
      <c r="K53" s="163"/>
      <c r="L53" s="161"/>
      <c r="M53" s="162"/>
      <c r="N53" s="163"/>
      <c r="O53" s="163"/>
      <c r="P53" s="164"/>
      <c r="Q53" s="165"/>
      <c r="R53" s="166"/>
    </row>
    <row r="54" spans="1:18" s="10" customFormat="1" ht="10.5" customHeight="1">
      <c r="A54" s="256"/>
      <c r="B54" s="256"/>
      <c r="C54" s="251"/>
      <c r="D54" s="252"/>
      <c r="E54" s="252"/>
      <c r="F54" s="252"/>
      <c r="G54" s="252"/>
      <c r="H54" s="161"/>
      <c r="I54" s="162"/>
      <c r="J54" s="163"/>
      <c r="K54" s="163"/>
      <c r="L54" s="161"/>
      <c r="M54" s="162"/>
      <c r="N54" s="163"/>
      <c r="O54" s="163"/>
      <c r="P54" s="164"/>
      <c r="Q54" s="165"/>
      <c r="R54" s="166"/>
    </row>
    <row r="55" spans="1:18" s="10" customFormat="1" ht="34.5" customHeight="1">
      <c r="A55" s="256"/>
      <c r="B55" s="256"/>
      <c r="C55" s="251"/>
      <c r="D55" s="252"/>
      <c r="E55" s="252"/>
      <c r="F55" s="252"/>
      <c r="G55" s="252"/>
      <c r="H55" s="161"/>
      <c r="I55" s="163"/>
      <c r="J55" s="161"/>
      <c r="K55" s="162"/>
      <c r="L55" s="163"/>
      <c r="M55" s="162"/>
      <c r="N55" s="163"/>
      <c r="O55" s="162"/>
      <c r="P55" s="167"/>
      <c r="Q55" s="165"/>
      <c r="R55" s="166"/>
    </row>
    <row r="56" spans="1:18" s="10" customFormat="1" ht="34.5" customHeight="1">
      <c r="A56" s="256"/>
      <c r="B56" s="256"/>
      <c r="C56" s="251"/>
      <c r="D56" s="252"/>
      <c r="E56" s="252"/>
      <c r="F56" s="252"/>
      <c r="G56" s="252"/>
      <c r="H56" s="161"/>
      <c r="I56" s="163"/>
      <c r="J56" s="161"/>
      <c r="K56" s="162"/>
      <c r="L56" s="163"/>
      <c r="M56" s="163"/>
      <c r="N56" s="161"/>
      <c r="O56" s="162"/>
      <c r="P56" s="165"/>
      <c r="Q56" s="164"/>
      <c r="R56" s="168"/>
    </row>
    <row r="57" spans="1:18" s="10" customFormat="1" ht="34.5" customHeight="1">
      <c r="A57" s="256"/>
      <c r="B57" s="256"/>
      <c r="C57" s="251"/>
      <c r="D57" s="252"/>
      <c r="E57" s="252"/>
      <c r="F57" s="252"/>
      <c r="G57" s="252"/>
      <c r="H57" s="161"/>
      <c r="I57" s="163"/>
      <c r="J57" s="161"/>
      <c r="K57" s="162"/>
      <c r="L57" s="163"/>
      <c r="M57" s="163"/>
      <c r="N57" s="161"/>
      <c r="O57" s="162"/>
      <c r="P57" s="165"/>
      <c r="Q57" s="164"/>
      <c r="R57" s="168"/>
    </row>
    <row r="58" spans="1:18" s="10" customFormat="1" ht="46.5" customHeight="1">
      <c r="A58" s="256"/>
      <c r="B58" s="256"/>
      <c r="C58" s="251"/>
      <c r="D58" s="252"/>
      <c r="E58" s="252"/>
      <c r="F58" s="252"/>
      <c r="G58" s="252"/>
      <c r="H58" s="161"/>
      <c r="I58" s="163"/>
      <c r="J58" s="161"/>
      <c r="K58" s="162"/>
      <c r="L58" s="163"/>
      <c r="M58" s="163"/>
      <c r="N58" s="161"/>
      <c r="O58" s="162"/>
      <c r="P58" s="165"/>
      <c r="Q58" s="164"/>
      <c r="R58" s="168"/>
    </row>
    <row r="59" spans="1:18" s="10" customFormat="1" ht="46.5" customHeight="1">
      <c r="A59" s="256"/>
      <c r="B59" s="256"/>
      <c r="C59" s="251"/>
      <c r="D59" s="252"/>
      <c r="E59" s="252"/>
      <c r="F59" s="252"/>
      <c r="G59" s="252"/>
      <c r="H59" s="161"/>
      <c r="I59" s="163"/>
      <c r="J59" s="161"/>
      <c r="K59" s="162"/>
      <c r="L59" s="163"/>
      <c r="M59" s="163"/>
      <c r="N59" s="161"/>
      <c r="O59" s="162"/>
      <c r="P59" s="165"/>
      <c r="Q59" s="164"/>
      <c r="R59" s="168"/>
    </row>
    <row r="60" spans="1:18" s="10" customFormat="1" ht="46.5" customHeight="1">
      <c r="A60" s="256"/>
      <c r="B60" s="256"/>
      <c r="C60" s="251"/>
      <c r="D60" s="252"/>
      <c r="E60" s="252"/>
      <c r="F60" s="252"/>
      <c r="G60" s="252"/>
      <c r="H60" s="161"/>
      <c r="I60" s="163"/>
      <c r="J60" s="161"/>
      <c r="K60" s="162"/>
      <c r="L60" s="163"/>
      <c r="M60" s="163"/>
      <c r="N60" s="161"/>
      <c r="O60" s="162"/>
      <c r="P60" s="165"/>
      <c r="Q60" s="164"/>
      <c r="R60" s="168"/>
    </row>
    <row r="61" spans="1:18" s="10" customFormat="1" ht="2.25" customHeight="1">
      <c r="A61" s="256"/>
      <c r="B61" s="256"/>
      <c r="C61" s="251"/>
      <c r="D61" s="169"/>
      <c r="E61" s="170"/>
      <c r="F61" s="171"/>
      <c r="G61" s="172"/>
      <c r="H61" s="173"/>
      <c r="I61" s="174"/>
      <c r="J61" s="173"/>
      <c r="K61" s="175"/>
      <c r="L61" s="174"/>
      <c r="M61" s="174"/>
      <c r="N61" s="174"/>
      <c r="O61" s="175"/>
      <c r="P61" s="176"/>
      <c r="Q61" s="176"/>
      <c r="R61" s="177"/>
    </row>
    <row r="62" spans="9:11" ht="15">
      <c r="I62" s="4"/>
      <c r="J62" s="4"/>
      <c r="K62" s="4"/>
    </row>
    <row r="63" ht="15">
      <c r="B63" s="1" t="s">
        <v>50</v>
      </c>
    </row>
    <row r="65" spans="1:17" ht="28.5" customHeight="1">
      <c r="A65" s="206" t="s">
        <v>51</v>
      </c>
      <c r="B65" s="206"/>
      <c r="C65" s="206"/>
      <c r="D65" s="206" t="s">
        <v>52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 t="s">
        <v>53</v>
      </c>
      <c r="Q65" s="206"/>
    </row>
    <row r="66" spans="1:17" ht="15">
      <c r="A66" s="206"/>
      <c r="B66" s="206"/>
      <c r="C66" s="206"/>
      <c r="D66" s="11">
        <v>1</v>
      </c>
      <c r="E66" s="11">
        <v>2</v>
      </c>
      <c r="F66" s="11">
        <v>3</v>
      </c>
      <c r="G66" s="11">
        <v>4</v>
      </c>
      <c r="H66" s="11">
        <v>5</v>
      </c>
      <c r="I66" s="11">
        <v>6</v>
      </c>
      <c r="J66" s="11">
        <v>7</v>
      </c>
      <c r="K66" s="11">
        <v>8</v>
      </c>
      <c r="L66" s="11">
        <v>9</v>
      </c>
      <c r="M66" s="11">
        <v>10</v>
      </c>
      <c r="N66" s="11">
        <v>11</v>
      </c>
      <c r="O66" s="11">
        <v>12</v>
      </c>
      <c r="P66" s="206"/>
      <c r="Q66" s="206"/>
    </row>
    <row r="67" spans="1:17" ht="118.5" customHeight="1">
      <c r="A67" s="212" t="s">
        <v>54</v>
      </c>
      <c r="B67" s="212"/>
      <c r="C67" s="212"/>
      <c r="D67" s="12">
        <f>D68</f>
        <v>419</v>
      </c>
      <c r="E67" s="12">
        <f aca="true" t="shared" si="0" ref="E67:O67">E68</f>
        <v>419</v>
      </c>
      <c r="F67" s="12">
        <f t="shared" si="0"/>
        <v>419</v>
      </c>
      <c r="G67" s="12">
        <f t="shared" si="0"/>
        <v>419</v>
      </c>
      <c r="H67" s="12">
        <f t="shared" si="0"/>
        <v>419</v>
      </c>
      <c r="I67" s="12">
        <f t="shared" si="0"/>
        <v>419</v>
      </c>
      <c r="J67" s="12">
        <f t="shared" si="0"/>
        <v>419</v>
      </c>
      <c r="K67" s="12">
        <f t="shared" si="0"/>
        <v>419</v>
      </c>
      <c r="L67" s="12">
        <f t="shared" si="0"/>
        <v>419</v>
      </c>
      <c r="M67" s="12">
        <f t="shared" si="0"/>
        <v>419</v>
      </c>
      <c r="N67" s="12">
        <f t="shared" si="0"/>
        <v>419</v>
      </c>
      <c r="O67" s="12">
        <f t="shared" si="0"/>
        <v>419</v>
      </c>
      <c r="P67" s="213">
        <f>P68</f>
        <v>419</v>
      </c>
      <c r="Q67" s="213"/>
    </row>
    <row r="68" spans="1:17" ht="50.25" customHeight="1">
      <c r="A68" s="214" t="s">
        <v>55</v>
      </c>
      <c r="B68" s="214"/>
      <c r="C68" s="214"/>
      <c r="D68" s="14">
        <v>419</v>
      </c>
      <c r="E68" s="15">
        <f aca="true" t="shared" si="1" ref="E68:F70">D68</f>
        <v>419</v>
      </c>
      <c r="F68" s="15">
        <f t="shared" si="1"/>
        <v>419</v>
      </c>
      <c r="G68" s="15">
        <f aca="true" t="shared" si="2" ref="G68:P70">F68</f>
        <v>419</v>
      </c>
      <c r="H68" s="15">
        <f t="shared" si="2"/>
        <v>419</v>
      </c>
      <c r="I68" s="15">
        <f t="shared" si="2"/>
        <v>419</v>
      </c>
      <c r="J68" s="15">
        <f t="shared" si="2"/>
        <v>419</v>
      </c>
      <c r="K68" s="15">
        <f t="shared" si="2"/>
        <v>419</v>
      </c>
      <c r="L68" s="15">
        <f t="shared" si="2"/>
        <v>419</v>
      </c>
      <c r="M68" s="15">
        <f t="shared" si="2"/>
        <v>419</v>
      </c>
      <c r="N68" s="15">
        <f t="shared" si="2"/>
        <v>419</v>
      </c>
      <c r="O68" s="15">
        <f t="shared" si="2"/>
        <v>419</v>
      </c>
      <c r="P68" s="213">
        <f>O68</f>
        <v>419</v>
      </c>
      <c r="Q68" s="213"/>
    </row>
    <row r="69" spans="1:17" ht="34.5" customHeight="1">
      <c r="A69" s="214" t="s">
        <v>56</v>
      </c>
      <c r="B69" s="214"/>
      <c r="C69" s="214"/>
      <c r="D69" s="15">
        <f>D68</f>
        <v>419</v>
      </c>
      <c r="E69" s="15">
        <f t="shared" si="1"/>
        <v>419</v>
      </c>
      <c r="F69" s="15">
        <f t="shared" si="1"/>
        <v>419</v>
      </c>
      <c r="G69" s="15">
        <f t="shared" si="2"/>
        <v>419</v>
      </c>
      <c r="H69" s="15">
        <f t="shared" si="2"/>
        <v>419</v>
      </c>
      <c r="I69" s="15">
        <f t="shared" si="2"/>
        <v>419</v>
      </c>
      <c r="J69" s="15">
        <f t="shared" si="2"/>
        <v>419</v>
      </c>
      <c r="K69" s="15">
        <f t="shared" si="2"/>
        <v>419</v>
      </c>
      <c r="L69" s="15">
        <f t="shared" si="2"/>
        <v>419</v>
      </c>
      <c r="M69" s="15">
        <f t="shared" si="2"/>
        <v>419</v>
      </c>
      <c r="N69" s="15">
        <f t="shared" si="2"/>
        <v>419</v>
      </c>
      <c r="O69" s="15">
        <f t="shared" si="2"/>
        <v>419</v>
      </c>
      <c r="P69" s="213">
        <f t="shared" si="2"/>
        <v>419</v>
      </c>
      <c r="Q69" s="213"/>
    </row>
    <row r="70" spans="1:17" ht="42" customHeight="1">
      <c r="A70" s="214" t="s">
        <v>57</v>
      </c>
      <c r="B70" s="214"/>
      <c r="C70" s="214"/>
      <c r="D70" s="15">
        <f>D69</f>
        <v>419</v>
      </c>
      <c r="E70" s="15">
        <f t="shared" si="1"/>
        <v>419</v>
      </c>
      <c r="F70" s="15">
        <f t="shared" si="1"/>
        <v>419</v>
      </c>
      <c r="G70" s="15">
        <f t="shared" si="2"/>
        <v>419</v>
      </c>
      <c r="H70" s="15">
        <f t="shared" si="2"/>
        <v>419</v>
      </c>
      <c r="I70" s="15">
        <f t="shared" si="2"/>
        <v>419</v>
      </c>
      <c r="J70" s="15">
        <f t="shared" si="2"/>
        <v>419</v>
      </c>
      <c r="K70" s="15">
        <f t="shared" si="2"/>
        <v>419</v>
      </c>
      <c r="L70" s="15">
        <f t="shared" si="2"/>
        <v>419</v>
      </c>
      <c r="M70" s="15">
        <f t="shared" si="2"/>
        <v>419</v>
      </c>
      <c r="N70" s="15">
        <f t="shared" si="2"/>
        <v>419</v>
      </c>
      <c r="O70" s="15">
        <f t="shared" si="2"/>
        <v>419</v>
      </c>
      <c r="P70" s="213">
        <f t="shared" si="2"/>
        <v>419</v>
      </c>
      <c r="Q70" s="213"/>
    </row>
    <row r="71" ht="15" hidden="1"/>
    <row r="73" spans="1:2" ht="15">
      <c r="A73" s="16" t="s">
        <v>58</v>
      </c>
      <c r="B73" s="17" t="s">
        <v>218</v>
      </c>
    </row>
    <row r="75" ht="15" hidden="1"/>
    <row r="76" spans="1:18" ht="27.75" customHeight="1">
      <c r="A76" s="215" t="s">
        <v>60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</row>
    <row r="79" ht="15">
      <c r="B79" s="1" t="s">
        <v>61</v>
      </c>
    </row>
    <row r="81" ht="15">
      <c r="B81" s="1" t="s">
        <v>62</v>
      </c>
    </row>
    <row r="83" spans="1:17" ht="15" customHeight="1">
      <c r="A83" s="206" t="s">
        <v>63</v>
      </c>
      <c r="B83" s="206"/>
      <c r="C83" s="206"/>
      <c r="D83" s="206" t="s">
        <v>52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 t="s">
        <v>64</v>
      </c>
      <c r="Q83" s="206"/>
    </row>
    <row r="84" spans="1:17" ht="15">
      <c r="A84" s="206"/>
      <c r="B84" s="206"/>
      <c r="C84" s="206"/>
      <c r="D84" s="11">
        <v>1</v>
      </c>
      <c r="E84" s="11">
        <v>2</v>
      </c>
      <c r="F84" s="11">
        <v>3</v>
      </c>
      <c r="G84" s="11">
        <v>4</v>
      </c>
      <c r="H84" s="11">
        <v>5</v>
      </c>
      <c r="I84" s="11">
        <v>6</v>
      </c>
      <c r="J84" s="11">
        <v>7</v>
      </c>
      <c r="K84" s="11">
        <v>8</v>
      </c>
      <c r="L84" s="11">
        <v>9</v>
      </c>
      <c r="M84" s="11">
        <v>10</v>
      </c>
      <c r="N84" s="11">
        <v>11</v>
      </c>
      <c r="O84" s="11">
        <v>12</v>
      </c>
      <c r="P84" s="206"/>
      <c r="Q84" s="206"/>
    </row>
    <row r="85" spans="1:17" ht="91.5" customHeight="1">
      <c r="A85" s="212" t="s">
        <v>65</v>
      </c>
      <c r="B85" s="212"/>
      <c r="C85" s="212"/>
      <c r="D85" s="178">
        <f>D108+D120</f>
        <v>0</v>
      </c>
      <c r="E85" s="178">
        <f aca="true" t="shared" si="3" ref="E85:P85">E108+E120</f>
        <v>0</v>
      </c>
      <c r="F85" s="178">
        <f t="shared" si="3"/>
        <v>0</v>
      </c>
      <c r="G85" s="178">
        <f t="shared" si="3"/>
        <v>0</v>
      </c>
      <c r="H85" s="178">
        <f t="shared" si="3"/>
        <v>0</v>
      </c>
      <c r="I85" s="178">
        <f t="shared" si="3"/>
        <v>9301127.200000001</v>
      </c>
      <c r="J85" s="178">
        <f t="shared" si="3"/>
        <v>0</v>
      </c>
      <c r="K85" s="178">
        <f t="shared" si="3"/>
        <v>0</v>
      </c>
      <c r="L85" s="178">
        <f t="shared" si="3"/>
        <v>0</v>
      </c>
      <c r="M85" s="178">
        <f t="shared" si="3"/>
        <v>0</v>
      </c>
      <c r="N85" s="178">
        <f t="shared" si="3"/>
        <v>0</v>
      </c>
      <c r="O85" s="178">
        <f t="shared" si="3"/>
        <v>0</v>
      </c>
      <c r="P85" s="257">
        <f t="shared" si="3"/>
        <v>9301127.200000001</v>
      </c>
      <c r="Q85" s="257"/>
    </row>
    <row r="86" ht="15" hidden="1"/>
    <row r="88" spans="1:13" ht="15">
      <c r="A88" s="16" t="s">
        <v>58</v>
      </c>
      <c r="B88" s="17" t="s">
        <v>218</v>
      </c>
      <c r="M88" s="1" t="s">
        <v>66</v>
      </c>
    </row>
    <row r="90" spans="1:18" ht="29.25" customHeight="1">
      <c r="A90" s="215" t="s">
        <v>60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</row>
    <row r="94" ht="15">
      <c r="B94" s="1" t="s">
        <v>67</v>
      </c>
    </row>
    <row r="96" spans="1:17" ht="15" customHeight="1">
      <c r="A96" s="206" t="s">
        <v>51</v>
      </c>
      <c r="B96" s="206"/>
      <c r="C96" s="206" t="s">
        <v>68</v>
      </c>
      <c r="D96" s="206" t="s">
        <v>69</v>
      </c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 t="s">
        <v>64</v>
      </c>
      <c r="Q96" s="206"/>
    </row>
    <row r="97" spans="1:17" ht="41.25" customHeight="1">
      <c r="A97" s="206"/>
      <c r="B97" s="206"/>
      <c r="C97" s="206"/>
      <c r="D97" s="11">
        <v>1</v>
      </c>
      <c r="E97" s="11">
        <v>2</v>
      </c>
      <c r="F97" s="11">
        <v>3</v>
      </c>
      <c r="G97" s="11">
        <v>4</v>
      </c>
      <c r="H97" s="11">
        <v>5</v>
      </c>
      <c r="I97" s="11">
        <v>6</v>
      </c>
      <c r="J97" s="11">
        <v>7</v>
      </c>
      <c r="K97" s="11">
        <v>8</v>
      </c>
      <c r="L97" s="11">
        <v>9</v>
      </c>
      <c r="M97" s="11">
        <v>10</v>
      </c>
      <c r="N97" s="11">
        <v>11</v>
      </c>
      <c r="O97" s="11">
        <v>12</v>
      </c>
      <c r="P97" s="206"/>
      <c r="Q97" s="206"/>
    </row>
    <row r="98" spans="1:17" ht="41.25" customHeight="1">
      <c r="A98" s="217" t="s">
        <v>70</v>
      </c>
      <c r="B98" s="217"/>
      <c r="C98" s="20" t="s">
        <v>71</v>
      </c>
      <c r="D98" s="21">
        <f>ROUND(D99/D67,2)</f>
        <v>0</v>
      </c>
      <c r="E98" s="21">
        <f aca="true" t="shared" si="4" ref="E98:O98">ROUND(E99/E67,2)</f>
        <v>0</v>
      </c>
      <c r="F98" s="21">
        <f t="shared" si="4"/>
        <v>0</v>
      </c>
      <c r="G98" s="21">
        <f t="shared" si="4"/>
        <v>0</v>
      </c>
      <c r="H98" s="21">
        <f t="shared" si="4"/>
        <v>0</v>
      </c>
      <c r="I98" s="21">
        <f t="shared" si="4"/>
        <v>8043.18</v>
      </c>
      <c r="J98" s="21">
        <f t="shared" si="4"/>
        <v>0</v>
      </c>
      <c r="K98" s="21">
        <f t="shared" si="4"/>
        <v>0</v>
      </c>
      <c r="L98" s="21">
        <f t="shared" si="4"/>
        <v>0</v>
      </c>
      <c r="M98" s="21">
        <f t="shared" si="4"/>
        <v>0</v>
      </c>
      <c r="N98" s="21">
        <f t="shared" si="4"/>
        <v>0</v>
      </c>
      <c r="O98" s="21">
        <f t="shared" si="4"/>
        <v>0</v>
      </c>
      <c r="P98" s="218">
        <f>SUM(D98:O98)</f>
        <v>8043.18</v>
      </c>
      <c r="Q98" s="218"/>
    </row>
    <row r="99" spans="1:17" ht="72.75" customHeight="1">
      <c r="A99" s="217"/>
      <c r="B99" s="217"/>
      <c r="C99" s="20" t="s">
        <v>72</v>
      </c>
      <c r="D99" s="22"/>
      <c r="E99" s="22"/>
      <c r="F99" s="22"/>
      <c r="G99" s="22"/>
      <c r="H99" s="22"/>
      <c r="I99" s="22">
        <v>3370090.71</v>
      </c>
      <c r="J99" s="22"/>
      <c r="K99" s="22"/>
      <c r="L99" s="22"/>
      <c r="M99" s="22"/>
      <c r="N99" s="22"/>
      <c r="O99" s="22"/>
      <c r="P99" s="218">
        <f aca="true" t="shared" si="5" ref="P99:P105">SUM(D99:O99)</f>
        <v>3370090.71</v>
      </c>
      <c r="Q99" s="218"/>
    </row>
    <row r="100" spans="1:17" ht="54.75" customHeight="1">
      <c r="A100" s="217" t="s">
        <v>73</v>
      </c>
      <c r="B100" s="217"/>
      <c r="C100" s="20" t="s">
        <v>71</v>
      </c>
      <c r="D100" s="21">
        <f>ROUND(D101/D67,2)</f>
        <v>0</v>
      </c>
      <c r="E100" s="21">
        <f aca="true" t="shared" si="6" ref="E100:O100">ROUND(E101/E67,2)</f>
        <v>0</v>
      </c>
      <c r="F100" s="21">
        <f t="shared" si="6"/>
        <v>0</v>
      </c>
      <c r="G100" s="21">
        <f t="shared" si="6"/>
        <v>0</v>
      </c>
      <c r="H100" s="21">
        <f t="shared" si="6"/>
        <v>0</v>
      </c>
      <c r="I100" s="21">
        <f t="shared" si="6"/>
        <v>0</v>
      </c>
      <c r="J100" s="21">
        <f t="shared" si="6"/>
        <v>0</v>
      </c>
      <c r="K100" s="21">
        <f t="shared" si="6"/>
        <v>0</v>
      </c>
      <c r="L100" s="21">
        <f t="shared" si="6"/>
        <v>0</v>
      </c>
      <c r="M100" s="21">
        <f t="shared" si="6"/>
        <v>0</v>
      </c>
      <c r="N100" s="21">
        <f t="shared" si="6"/>
        <v>0</v>
      </c>
      <c r="O100" s="21">
        <f t="shared" si="6"/>
        <v>0</v>
      </c>
      <c r="P100" s="218"/>
      <c r="Q100" s="218"/>
    </row>
    <row r="101" spans="1:17" ht="64.5" customHeight="1">
      <c r="A101" s="217"/>
      <c r="B101" s="217"/>
      <c r="C101" s="20" t="s">
        <v>72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18"/>
      <c r="Q101" s="218"/>
    </row>
    <row r="102" spans="1:17" ht="41.25" customHeight="1">
      <c r="A102" s="217" t="s">
        <v>74</v>
      </c>
      <c r="B102" s="217"/>
      <c r="C102" s="20" t="s">
        <v>71</v>
      </c>
      <c r="D102" s="21">
        <f>ROUND(D103/D67,2)</f>
        <v>0</v>
      </c>
      <c r="E102" s="21">
        <f aca="true" t="shared" si="7" ref="E102:O102">ROUND(E103/E67,2)</f>
        <v>0</v>
      </c>
      <c r="F102" s="21">
        <f aca="true" t="shared" si="8" ref="F102:K102">ROUND(F103/F67,2)</f>
        <v>0</v>
      </c>
      <c r="G102" s="21">
        <f t="shared" si="8"/>
        <v>0</v>
      </c>
      <c r="H102" s="21">
        <f t="shared" si="8"/>
        <v>0</v>
      </c>
      <c r="I102" s="21">
        <f t="shared" si="8"/>
        <v>10826.43</v>
      </c>
      <c r="J102" s="21">
        <f t="shared" si="8"/>
        <v>0</v>
      </c>
      <c r="K102" s="21">
        <f t="shared" si="8"/>
        <v>0</v>
      </c>
      <c r="L102" s="21">
        <f t="shared" si="7"/>
        <v>0</v>
      </c>
      <c r="M102" s="21">
        <f t="shared" si="7"/>
        <v>0</v>
      </c>
      <c r="N102" s="21">
        <f t="shared" si="7"/>
        <v>0</v>
      </c>
      <c r="O102" s="21">
        <f t="shared" si="7"/>
        <v>0</v>
      </c>
      <c r="P102" s="218">
        <f t="shared" si="5"/>
        <v>10826.43</v>
      </c>
      <c r="Q102" s="218"/>
    </row>
    <row r="103" spans="1:17" ht="54" customHeight="1">
      <c r="A103" s="217"/>
      <c r="B103" s="217"/>
      <c r="C103" s="20" t="s">
        <v>72</v>
      </c>
      <c r="D103" s="22"/>
      <c r="E103" s="22"/>
      <c r="F103" s="22"/>
      <c r="G103" s="22"/>
      <c r="H103" s="22"/>
      <c r="I103" s="22">
        <v>4536274.19</v>
      </c>
      <c r="J103" s="22"/>
      <c r="K103" s="22"/>
      <c r="L103" s="22"/>
      <c r="M103" s="22"/>
      <c r="N103" s="22"/>
      <c r="O103" s="22"/>
      <c r="P103" s="218">
        <f t="shared" si="5"/>
        <v>4536274.19</v>
      </c>
      <c r="Q103" s="218"/>
    </row>
    <row r="104" spans="1:17" ht="12.75" customHeight="1" hidden="1">
      <c r="A104" s="217" t="s">
        <v>75</v>
      </c>
      <c r="B104" s="217"/>
      <c r="C104" s="19" t="s">
        <v>71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8">
        <f t="shared" si="5"/>
        <v>0</v>
      </c>
      <c r="Q104" s="218"/>
    </row>
    <row r="105" spans="1:17" ht="12.75" customHeight="1" hidden="1">
      <c r="A105" s="217"/>
      <c r="B105" s="217"/>
      <c r="C105" s="19" t="s">
        <v>72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8">
        <f t="shared" si="5"/>
        <v>0</v>
      </c>
      <c r="Q105" s="218"/>
    </row>
    <row r="106" spans="1:17" ht="52.5" customHeight="1">
      <c r="A106" s="217" t="s">
        <v>76</v>
      </c>
      <c r="B106" s="217"/>
      <c r="C106" s="20" t="s">
        <v>71</v>
      </c>
      <c r="D106" s="21">
        <f>ROUND(D107/D67,2)</f>
        <v>0</v>
      </c>
      <c r="E106" s="21">
        <f aca="true" t="shared" si="9" ref="E106:O106">ROUND(E107/E67,2)</f>
        <v>0</v>
      </c>
      <c r="F106" s="21">
        <f t="shared" si="9"/>
        <v>0</v>
      </c>
      <c r="G106" s="21">
        <f t="shared" si="9"/>
        <v>0</v>
      </c>
      <c r="H106" s="21">
        <f t="shared" si="9"/>
        <v>0</v>
      </c>
      <c r="I106" s="21">
        <f t="shared" si="9"/>
        <v>0</v>
      </c>
      <c r="J106" s="21">
        <f t="shared" si="9"/>
        <v>0</v>
      </c>
      <c r="K106" s="21">
        <f t="shared" si="9"/>
        <v>0</v>
      </c>
      <c r="L106" s="21">
        <f t="shared" si="9"/>
        <v>0</v>
      </c>
      <c r="M106" s="21">
        <f t="shared" si="9"/>
        <v>0</v>
      </c>
      <c r="N106" s="21">
        <f t="shared" si="9"/>
        <v>0</v>
      </c>
      <c r="O106" s="21">
        <f t="shared" si="9"/>
        <v>0</v>
      </c>
      <c r="P106" s="218">
        <f>SUM(D106:O106)</f>
        <v>0</v>
      </c>
      <c r="Q106" s="218"/>
    </row>
    <row r="107" spans="1:17" ht="52.5" customHeight="1">
      <c r="A107" s="217"/>
      <c r="B107" s="217"/>
      <c r="C107" s="20" t="s">
        <v>72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18">
        <f>SUM(D107:O107)</f>
        <v>0</v>
      </c>
      <c r="Q107" s="218"/>
    </row>
    <row r="108" spans="1:17" ht="77.25" customHeight="1">
      <c r="A108" s="217" t="s">
        <v>77</v>
      </c>
      <c r="B108" s="217"/>
      <c r="C108" s="19" t="s">
        <v>78</v>
      </c>
      <c r="D108" s="21">
        <f>D105+D103+D99+D107+D101</f>
        <v>0</v>
      </c>
      <c r="E108" s="21">
        <f aca="true" t="shared" si="10" ref="E108:O108">E105+E103+E99+E107+E101</f>
        <v>0</v>
      </c>
      <c r="F108" s="21">
        <f t="shared" si="10"/>
        <v>0</v>
      </c>
      <c r="G108" s="21">
        <f t="shared" si="10"/>
        <v>0</v>
      </c>
      <c r="H108" s="21">
        <f t="shared" si="10"/>
        <v>0</v>
      </c>
      <c r="I108" s="21">
        <f t="shared" si="10"/>
        <v>7906364.9</v>
      </c>
      <c r="J108" s="21">
        <f t="shared" si="10"/>
        <v>0</v>
      </c>
      <c r="K108" s="21">
        <f t="shared" si="10"/>
        <v>0</v>
      </c>
      <c r="L108" s="21">
        <f t="shared" si="10"/>
        <v>0</v>
      </c>
      <c r="M108" s="21">
        <f t="shared" si="10"/>
        <v>0</v>
      </c>
      <c r="N108" s="21">
        <f t="shared" si="10"/>
        <v>0</v>
      </c>
      <c r="O108" s="21">
        <f t="shared" si="10"/>
        <v>0</v>
      </c>
      <c r="P108" s="218">
        <f>SUM(D108:O108)</f>
        <v>7906364.9</v>
      </c>
      <c r="Q108" s="218"/>
    </row>
    <row r="110" spans="1:2" ht="21" customHeight="1">
      <c r="A110" s="16" t="s">
        <v>58</v>
      </c>
      <c r="B110" s="17" t="s">
        <v>218</v>
      </c>
    </row>
    <row r="113" spans="1:18" ht="29.25" customHeight="1">
      <c r="A113" s="215" t="s">
        <v>60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</row>
    <row r="116" ht="15">
      <c r="B116" s="1" t="s">
        <v>79</v>
      </c>
    </row>
    <row r="118" spans="1:17" ht="15" customHeight="1">
      <c r="A118" s="206" t="s">
        <v>51</v>
      </c>
      <c r="B118" s="206"/>
      <c r="C118" s="206"/>
      <c r="D118" s="206" t="s">
        <v>69</v>
      </c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 t="s">
        <v>64</v>
      </c>
      <c r="Q118" s="206"/>
    </row>
    <row r="119" spans="1:17" ht="15">
      <c r="A119" s="206"/>
      <c r="B119" s="206"/>
      <c r="C119" s="206"/>
      <c r="D119" s="11">
        <v>1</v>
      </c>
      <c r="E119" s="11">
        <v>2</v>
      </c>
      <c r="F119" s="11">
        <v>3</v>
      </c>
      <c r="G119" s="11">
        <v>4</v>
      </c>
      <c r="H119" s="11">
        <v>5</v>
      </c>
      <c r="I119" s="11">
        <v>6</v>
      </c>
      <c r="J119" s="11">
        <v>7</v>
      </c>
      <c r="K119" s="11">
        <v>8</v>
      </c>
      <c r="L119" s="11">
        <v>9</v>
      </c>
      <c r="M119" s="11">
        <v>10</v>
      </c>
      <c r="N119" s="11">
        <v>11</v>
      </c>
      <c r="O119" s="11">
        <v>12</v>
      </c>
      <c r="P119" s="206"/>
      <c r="Q119" s="206"/>
    </row>
    <row r="120" spans="1:17" ht="94.5" customHeight="1">
      <c r="A120" s="219" t="s">
        <v>80</v>
      </c>
      <c r="B120" s="219"/>
      <c r="C120" s="219"/>
      <c r="D120" s="23">
        <f>D121</f>
        <v>0</v>
      </c>
      <c r="E120" s="23">
        <f aca="true" t="shared" si="11" ref="E120:O120">E121</f>
        <v>0</v>
      </c>
      <c r="F120" s="23">
        <f t="shared" si="11"/>
        <v>0</v>
      </c>
      <c r="G120" s="23">
        <f t="shared" si="11"/>
        <v>0</v>
      </c>
      <c r="H120" s="23">
        <f t="shared" si="11"/>
        <v>0</v>
      </c>
      <c r="I120" s="23">
        <f t="shared" si="11"/>
        <v>1394762.3</v>
      </c>
      <c r="J120" s="23">
        <f t="shared" si="11"/>
        <v>0</v>
      </c>
      <c r="K120" s="23">
        <f t="shared" si="11"/>
        <v>0</v>
      </c>
      <c r="L120" s="23">
        <f t="shared" si="11"/>
        <v>0</v>
      </c>
      <c r="M120" s="23">
        <f t="shared" si="11"/>
        <v>0</v>
      </c>
      <c r="N120" s="23">
        <f t="shared" si="11"/>
        <v>0</v>
      </c>
      <c r="O120" s="23">
        <f t="shared" si="11"/>
        <v>0</v>
      </c>
      <c r="P120" s="213">
        <f>SUM(D120:O120)</f>
        <v>1394762.3</v>
      </c>
      <c r="Q120" s="213"/>
    </row>
    <row r="121" spans="1:17" ht="39.75" customHeight="1">
      <c r="A121" s="214" t="s">
        <v>75</v>
      </c>
      <c r="B121" s="214"/>
      <c r="C121" s="214"/>
      <c r="D121" s="24"/>
      <c r="E121" s="24"/>
      <c r="F121" s="24"/>
      <c r="G121" s="24"/>
      <c r="H121" s="24"/>
      <c r="I121" s="24">
        <v>1394762.3</v>
      </c>
      <c r="J121" s="24"/>
      <c r="K121" s="24"/>
      <c r="L121" s="24"/>
      <c r="M121" s="24"/>
      <c r="N121" s="24"/>
      <c r="O121" s="24"/>
      <c r="P121" s="213">
        <f>SUM(D121:O121)</f>
        <v>1394762.3</v>
      </c>
      <c r="Q121" s="213"/>
    </row>
    <row r="123" spans="1:2" ht="15">
      <c r="A123" s="16" t="s">
        <v>58</v>
      </c>
      <c r="B123" s="17" t="s">
        <v>218</v>
      </c>
    </row>
    <row r="125" spans="1:18" ht="33" customHeight="1">
      <c r="A125" s="215" t="s">
        <v>60</v>
      </c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</row>
    <row r="128" ht="15">
      <c r="B128" s="1" t="s">
        <v>81</v>
      </c>
    </row>
    <row r="130" spans="1:17" ht="15" customHeight="1">
      <c r="A130" s="206" t="s">
        <v>82</v>
      </c>
      <c r="B130" s="206"/>
      <c r="C130" s="206"/>
      <c r="D130" s="206" t="s">
        <v>69</v>
      </c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 t="s">
        <v>64</v>
      </c>
      <c r="Q130" s="206"/>
    </row>
    <row r="131" spans="1:17" ht="15">
      <c r="A131" s="206"/>
      <c r="B131" s="206"/>
      <c r="C131" s="206"/>
      <c r="D131" s="11">
        <v>1</v>
      </c>
      <c r="E131" s="11">
        <v>2</v>
      </c>
      <c r="F131" s="11">
        <v>3</v>
      </c>
      <c r="G131" s="11">
        <v>4</v>
      </c>
      <c r="H131" s="11">
        <v>5</v>
      </c>
      <c r="I131" s="11">
        <v>6</v>
      </c>
      <c r="J131" s="11">
        <v>7</v>
      </c>
      <c r="K131" s="11">
        <v>8</v>
      </c>
      <c r="L131" s="11">
        <v>9</v>
      </c>
      <c r="M131" s="11">
        <v>10</v>
      </c>
      <c r="N131" s="11">
        <v>11</v>
      </c>
      <c r="O131" s="11">
        <v>12</v>
      </c>
      <c r="P131" s="206"/>
      <c r="Q131" s="206"/>
    </row>
    <row r="132" spans="1:17" ht="102" customHeight="1">
      <c r="A132" s="219" t="s">
        <v>80</v>
      </c>
      <c r="B132" s="219"/>
      <c r="C132" s="219"/>
      <c r="D132" s="25">
        <f>D134+D135+D136+D139+D140+D143+D133+D137+D142+D141+D138</f>
        <v>0</v>
      </c>
      <c r="E132" s="25">
        <f aca="true" t="shared" si="12" ref="E132:N132">E134+E135+E136+E139+E140+E143+E133+E137+E142+E141+E138</f>
        <v>0</v>
      </c>
      <c r="F132" s="25">
        <f t="shared" si="12"/>
        <v>0</v>
      </c>
      <c r="G132" s="25">
        <f t="shared" si="12"/>
        <v>0</v>
      </c>
      <c r="H132" s="25">
        <f t="shared" si="12"/>
        <v>0</v>
      </c>
      <c r="I132" s="25">
        <f t="shared" si="12"/>
        <v>0</v>
      </c>
      <c r="J132" s="25">
        <f>J134+J135+J136+J139+J140+J143+J133+J137+J142+J141+J138</f>
        <v>654051</v>
      </c>
      <c r="K132" s="25">
        <f t="shared" si="12"/>
        <v>0</v>
      </c>
      <c r="L132" s="25">
        <f t="shared" si="12"/>
        <v>0</v>
      </c>
      <c r="M132" s="25">
        <f t="shared" si="12"/>
        <v>0</v>
      </c>
      <c r="N132" s="25">
        <f t="shared" si="12"/>
        <v>0</v>
      </c>
      <c r="O132" s="25">
        <f>O134+O135+O136+O139+O140+O143+O133+O137+O142+O141+O138</f>
        <v>0</v>
      </c>
      <c r="P132" s="213">
        <f>SUM(D132:O132)</f>
        <v>654051</v>
      </c>
      <c r="Q132" s="213"/>
    </row>
    <row r="133" spans="1:17" ht="53.25" customHeight="1">
      <c r="A133" s="219" t="s">
        <v>83</v>
      </c>
      <c r="B133" s="219"/>
      <c r="C133" s="219"/>
      <c r="D133" s="25"/>
      <c r="E133" s="25"/>
      <c r="F133" s="25"/>
      <c r="G133" s="25"/>
      <c r="H133" s="25"/>
      <c r="I133" s="25"/>
      <c r="J133" s="25">
        <v>55000</v>
      </c>
      <c r="K133" s="25"/>
      <c r="L133" s="25"/>
      <c r="M133" s="25"/>
      <c r="N133" s="25"/>
      <c r="O133" s="25"/>
      <c r="P133" s="213">
        <f>SUM(D133:O133)</f>
        <v>55000</v>
      </c>
      <c r="Q133" s="213"/>
    </row>
    <row r="134" spans="1:17" ht="38.25" customHeight="1">
      <c r="A134" s="210" t="s">
        <v>85</v>
      </c>
      <c r="B134" s="210"/>
      <c r="C134" s="21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13">
        <f aca="true" t="shared" si="13" ref="P134:P143">SUM(D134:O134)</f>
        <v>0</v>
      </c>
      <c r="Q134" s="213"/>
    </row>
    <row r="135" spans="1:17" ht="36.75" customHeight="1">
      <c r="A135" s="210" t="s">
        <v>86</v>
      </c>
      <c r="B135" s="210"/>
      <c r="C135" s="210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13">
        <f t="shared" si="13"/>
        <v>0</v>
      </c>
      <c r="Q135" s="213"/>
    </row>
    <row r="136" spans="1:17" ht="112.5" customHeight="1">
      <c r="A136" s="210" t="s">
        <v>219</v>
      </c>
      <c r="B136" s="210"/>
      <c r="C136" s="210"/>
      <c r="D136" s="25"/>
      <c r="E136" s="25"/>
      <c r="F136" s="25"/>
      <c r="G136" s="25"/>
      <c r="H136" s="25"/>
      <c r="I136" s="25"/>
      <c r="J136" s="25">
        <v>14325</v>
      </c>
      <c r="K136" s="25"/>
      <c r="L136" s="25"/>
      <c r="M136" s="25"/>
      <c r="N136" s="25"/>
      <c r="O136" s="25"/>
      <c r="P136" s="213">
        <f t="shared" si="13"/>
        <v>14325</v>
      </c>
      <c r="Q136" s="213"/>
    </row>
    <row r="137" spans="1:17" ht="53.25" customHeight="1">
      <c r="A137" s="220" t="s">
        <v>88</v>
      </c>
      <c r="B137" s="220"/>
      <c r="C137" s="220"/>
      <c r="D137" s="25"/>
      <c r="E137" s="25"/>
      <c r="F137" s="25"/>
      <c r="G137" s="25"/>
      <c r="H137" s="25"/>
      <c r="I137" s="25"/>
      <c r="J137" s="25">
        <v>33490</v>
      </c>
      <c r="K137" s="25"/>
      <c r="L137" s="25"/>
      <c r="M137" s="25"/>
      <c r="N137" s="25"/>
      <c r="O137" s="25"/>
      <c r="P137" s="213">
        <f>SUM(D137:O137)</f>
        <v>33490</v>
      </c>
      <c r="Q137" s="213"/>
    </row>
    <row r="138" spans="1:17" ht="53.25" customHeight="1">
      <c r="A138" s="220" t="s">
        <v>89</v>
      </c>
      <c r="B138" s="220"/>
      <c r="C138" s="220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13">
        <f>SUM(D138:O138)</f>
        <v>0</v>
      </c>
      <c r="Q138" s="213"/>
    </row>
    <row r="139" spans="1:17" ht="28.5" customHeight="1">
      <c r="A139" s="210" t="s">
        <v>90</v>
      </c>
      <c r="B139" s="210"/>
      <c r="C139" s="210"/>
      <c r="D139" s="25"/>
      <c r="E139" s="25"/>
      <c r="F139" s="25"/>
      <c r="G139" s="25"/>
      <c r="H139" s="25"/>
      <c r="I139" s="25"/>
      <c r="J139" s="25">
        <v>46617</v>
      </c>
      <c r="K139" s="25"/>
      <c r="L139" s="25"/>
      <c r="M139" s="25"/>
      <c r="N139" s="25"/>
      <c r="O139" s="25"/>
      <c r="P139" s="213">
        <f t="shared" si="13"/>
        <v>46617</v>
      </c>
      <c r="Q139" s="213"/>
    </row>
    <row r="140" spans="1:17" ht="49.5" customHeight="1">
      <c r="A140" s="210" t="s">
        <v>91</v>
      </c>
      <c r="B140" s="210"/>
      <c r="C140" s="21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13">
        <f t="shared" si="13"/>
        <v>0</v>
      </c>
      <c r="Q140" s="213"/>
    </row>
    <row r="141" spans="1:17" ht="38.25" customHeight="1">
      <c r="A141" s="220" t="s">
        <v>92</v>
      </c>
      <c r="B141" s="220"/>
      <c r="C141" s="220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13">
        <f>SUM(D141:O141)</f>
        <v>0</v>
      </c>
      <c r="Q141" s="213"/>
    </row>
    <row r="142" spans="1:17" ht="72" customHeight="1">
      <c r="A142" s="220" t="s">
        <v>93</v>
      </c>
      <c r="B142" s="220"/>
      <c r="C142" s="220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13">
        <f>SUM(D142:O142)</f>
        <v>0</v>
      </c>
      <c r="Q142" s="213"/>
    </row>
    <row r="143" spans="1:17" ht="44.25" customHeight="1">
      <c r="A143" s="210" t="s">
        <v>220</v>
      </c>
      <c r="B143" s="210"/>
      <c r="C143" s="210"/>
      <c r="D143" s="25"/>
      <c r="E143" s="25"/>
      <c r="F143" s="25"/>
      <c r="G143" s="25"/>
      <c r="H143" s="25"/>
      <c r="I143" s="25"/>
      <c r="J143" s="25">
        <v>504619</v>
      </c>
      <c r="K143" s="25"/>
      <c r="L143" s="25"/>
      <c r="M143" s="25"/>
      <c r="N143" s="25"/>
      <c r="O143" s="25"/>
      <c r="P143" s="213">
        <f t="shared" si="13"/>
        <v>504619</v>
      </c>
      <c r="Q143" s="213"/>
    </row>
    <row r="144" spans="1:17" ht="12.75" customHeight="1" hidden="1">
      <c r="A144" s="221"/>
      <c r="B144" s="221"/>
      <c r="C144" s="22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79"/>
      <c r="Q144" s="180"/>
    </row>
    <row r="145" spans="1:17" ht="12.75" customHeight="1" hidden="1">
      <c r="A145" s="221"/>
      <c r="B145" s="221"/>
      <c r="C145" s="22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79"/>
      <c r="Q145" s="180"/>
    </row>
    <row r="146" spans="1:17" ht="12.75" customHeight="1" hidden="1">
      <c r="A146" s="214" t="s">
        <v>96</v>
      </c>
      <c r="B146" s="214"/>
      <c r="C146" s="2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213"/>
      <c r="Q146" s="213"/>
    </row>
    <row r="147" spans="1:17" ht="12.75" customHeight="1" hidden="1">
      <c r="A147" s="214" t="s">
        <v>97</v>
      </c>
      <c r="B147" s="214"/>
      <c r="C147" s="2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213"/>
      <c r="Q147" s="213"/>
    </row>
    <row r="149" spans="1:2" ht="15">
      <c r="A149" s="16" t="s">
        <v>58</v>
      </c>
      <c r="B149" s="17" t="s">
        <v>218</v>
      </c>
    </row>
    <row r="151" spans="1:18" ht="29.25" customHeight="1">
      <c r="A151" s="215" t="s">
        <v>60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</row>
    <row r="154" ht="15">
      <c r="B154" s="1" t="s">
        <v>98</v>
      </c>
    </row>
    <row r="156" ht="15">
      <c r="B156" s="1" t="s">
        <v>99</v>
      </c>
    </row>
    <row r="158" spans="1:18" ht="42.75" customHeight="1">
      <c r="A158" s="26" t="s">
        <v>100</v>
      </c>
      <c r="B158" s="206" t="s">
        <v>101</v>
      </c>
      <c r="C158" s="206"/>
      <c r="D158" s="222" t="s">
        <v>102</v>
      </c>
      <c r="E158" s="222"/>
      <c r="F158" s="206" t="s">
        <v>103</v>
      </c>
      <c r="G158" s="206"/>
      <c r="H158" s="206"/>
      <c r="I158" s="206"/>
      <c r="J158" s="206"/>
      <c r="K158" s="206"/>
      <c r="L158" s="206"/>
      <c r="M158" s="206"/>
      <c r="N158" s="223" t="s">
        <v>104</v>
      </c>
      <c r="O158" s="223"/>
      <c r="P158" s="223"/>
      <c r="Q158" s="223"/>
      <c r="R158" s="223"/>
    </row>
    <row r="159" spans="1:18" ht="27.75" customHeight="1">
      <c r="A159" s="224" t="s">
        <v>105</v>
      </c>
      <c r="B159" s="224"/>
      <c r="C159" s="224"/>
      <c r="D159" s="224"/>
      <c r="E159" s="224"/>
      <c r="F159" s="225" t="s">
        <v>106</v>
      </c>
      <c r="G159" s="225"/>
      <c r="H159" s="225" t="s">
        <v>107</v>
      </c>
      <c r="I159" s="225"/>
      <c r="J159" s="225" t="s">
        <v>108</v>
      </c>
      <c r="K159" s="225"/>
      <c r="L159" s="225" t="s">
        <v>109</v>
      </c>
      <c r="M159" s="225"/>
      <c r="N159" s="225" t="s">
        <v>106</v>
      </c>
      <c r="O159" s="225"/>
      <c r="P159" s="7" t="s">
        <v>107</v>
      </c>
      <c r="Q159" s="7" t="s">
        <v>108</v>
      </c>
      <c r="R159" s="11" t="s">
        <v>109</v>
      </c>
    </row>
    <row r="160" spans="1:18" ht="45.75" customHeight="1">
      <c r="A160" s="27">
        <v>1</v>
      </c>
      <c r="B160" s="227" t="s">
        <v>110</v>
      </c>
      <c r="C160" s="227"/>
      <c r="D160" s="206"/>
      <c r="E160" s="206"/>
      <c r="F160" s="228" t="s">
        <v>111</v>
      </c>
      <c r="G160" s="228"/>
      <c r="H160" s="229" t="s">
        <v>111</v>
      </c>
      <c r="I160" s="229"/>
      <c r="J160" s="229" t="s">
        <v>111</v>
      </c>
      <c r="K160" s="229"/>
      <c r="L160" s="229" t="s">
        <v>111</v>
      </c>
      <c r="M160" s="229"/>
      <c r="N160" s="223"/>
      <c r="O160" s="223"/>
      <c r="P160" s="7"/>
      <c r="Q160" s="7"/>
      <c r="R160" s="11"/>
    </row>
    <row r="161" spans="1:18" ht="48.75" customHeight="1">
      <c r="A161" s="28">
        <v>2</v>
      </c>
      <c r="B161" s="220" t="s">
        <v>113</v>
      </c>
      <c r="C161" s="220"/>
      <c r="D161" s="221"/>
      <c r="E161" s="221"/>
      <c r="F161" s="232" t="s">
        <v>114</v>
      </c>
      <c r="G161" s="232"/>
      <c r="H161" s="210" t="s">
        <v>114</v>
      </c>
      <c r="I161" s="210"/>
      <c r="J161" s="210" t="s">
        <v>114</v>
      </c>
      <c r="K161" s="210"/>
      <c r="L161" s="210" t="s">
        <v>114</v>
      </c>
      <c r="M161" s="210"/>
      <c r="N161" s="221"/>
      <c r="O161" s="221"/>
      <c r="P161" s="28"/>
      <c r="Q161" s="28"/>
      <c r="R161" s="30"/>
    </row>
    <row r="162" spans="1:18" ht="71.25" customHeight="1">
      <c r="A162" s="28">
        <v>3</v>
      </c>
      <c r="B162" s="220" t="s">
        <v>115</v>
      </c>
      <c r="C162" s="220"/>
      <c r="D162" s="213"/>
      <c r="E162" s="213"/>
      <c r="F162" s="230" t="s">
        <v>116</v>
      </c>
      <c r="G162" s="230"/>
      <c r="H162" s="231" t="s">
        <v>116</v>
      </c>
      <c r="I162" s="231"/>
      <c r="J162" s="231" t="s">
        <v>116</v>
      </c>
      <c r="K162" s="231"/>
      <c r="L162" s="231" t="s">
        <v>116</v>
      </c>
      <c r="M162" s="231"/>
      <c r="N162" s="213"/>
      <c r="O162" s="213"/>
      <c r="P162" s="15"/>
      <c r="Q162" s="15"/>
      <c r="R162" s="31"/>
    </row>
    <row r="163" spans="1:18" ht="48" customHeight="1">
      <c r="A163" s="31">
        <v>4</v>
      </c>
      <c r="B163" s="220" t="s">
        <v>118</v>
      </c>
      <c r="C163" s="220"/>
      <c r="D163" s="233"/>
      <c r="E163" s="233"/>
      <c r="F163" s="232" t="s">
        <v>116</v>
      </c>
      <c r="G163" s="232"/>
      <c r="H163" s="210" t="s">
        <v>116</v>
      </c>
      <c r="I163" s="210"/>
      <c r="J163" s="210" t="s">
        <v>116</v>
      </c>
      <c r="K163" s="210"/>
      <c r="L163" s="210" t="s">
        <v>116</v>
      </c>
      <c r="M163" s="210"/>
      <c r="N163" s="233"/>
      <c r="O163" s="233"/>
      <c r="P163" s="31"/>
      <c r="Q163" s="31"/>
      <c r="R163" s="31"/>
    </row>
    <row r="164" spans="1:18" ht="37.5" customHeight="1">
      <c r="A164" s="31">
        <v>5</v>
      </c>
      <c r="B164" s="220" t="s">
        <v>119</v>
      </c>
      <c r="C164" s="220"/>
      <c r="D164" s="208"/>
      <c r="E164" s="208"/>
      <c r="F164" s="234" t="s">
        <v>120</v>
      </c>
      <c r="G164" s="234"/>
      <c r="H164" s="208" t="s">
        <v>120</v>
      </c>
      <c r="I164" s="208"/>
      <c r="J164" s="208" t="s">
        <v>120</v>
      </c>
      <c r="K164" s="208"/>
      <c r="L164" s="208" t="s">
        <v>120</v>
      </c>
      <c r="M164" s="208"/>
      <c r="N164" s="208"/>
      <c r="O164" s="208"/>
      <c r="P164" s="31"/>
      <c r="Q164" s="31"/>
      <c r="R164" s="31"/>
    </row>
    <row r="165" spans="1:18" ht="50.25" customHeight="1">
      <c r="A165" s="31">
        <v>6</v>
      </c>
      <c r="B165" s="220" t="s">
        <v>121</v>
      </c>
      <c r="C165" s="220"/>
      <c r="D165" s="208"/>
      <c r="E165" s="208"/>
      <c r="F165" s="234" t="s">
        <v>122</v>
      </c>
      <c r="G165" s="234"/>
      <c r="H165" s="208" t="s">
        <v>122</v>
      </c>
      <c r="I165" s="208"/>
      <c r="J165" s="208" t="s">
        <v>122</v>
      </c>
      <c r="K165" s="208"/>
      <c r="L165" s="208" t="s">
        <v>122</v>
      </c>
      <c r="M165" s="208"/>
      <c r="N165" s="208"/>
      <c r="O165" s="208"/>
      <c r="P165" s="31"/>
      <c r="Q165" s="31"/>
      <c r="R165" s="31"/>
    </row>
    <row r="166" spans="1:18" ht="57" customHeight="1">
      <c r="A166" s="31">
        <v>7</v>
      </c>
      <c r="B166" s="220" t="s">
        <v>123</v>
      </c>
      <c r="C166" s="220"/>
      <c r="D166" s="208"/>
      <c r="E166" s="208"/>
      <c r="F166" s="258" t="s">
        <v>124</v>
      </c>
      <c r="G166" s="258"/>
      <c r="H166" s="258" t="s">
        <v>124</v>
      </c>
      <c r="I166" s="258"/>
      <c r="J166" s="258" t="s">
        <v>124</v>
      </c>
      <c r="K166" s="258"/>
      <c r="L166" s="258" t="s">
        <v>124</v>
      </c>
      <c r="M166" s="258"/>
      <c r="N166" s="208"/>
      <c r="O166" s="208"/>
      <c r="P166" s="31"/>
      <c r="Q166" s="31"/>
      <c r="R166" s="31"/>
    </row>
    <row r="168" ht="15">
      <c r="A168" s="36"/>
    </row>
    <row r="169" spans="1:18" ht="30.75" customHeight="1">
      <c r="A169" s="215" t="s">
        <v>60</v>
      </c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</row>
    <row r="172" ht="15">
      <c r="B172" s="1" t="s">
        <v>126</v>
      </c>
    </row>
    <row r="174" spans="1:18" ht="26.25" customHeight="1">
      <c r="A174" s="26" t="s">
        <v>100</v>
      </c>
      <c r="B174" s="206" t="s">
        <v>101</v>
      </c>
      <c r="C174" s="206"/>
      <c r="D174" s="206"/>
      <c r="E174" s="206" t="s">
        <v>102</v>
      </c>
      <c r="F174" s="206"/>
      <c r="G174" s="206"/>
      <c r="H174" s="206"/>
      <c r="I174" s="233" t="s">
        <v>103</v>
      </c>
      <c r="J174" s="233"/>
      <c r="K174" s="233"/>
      <c r="L174" s="233"/>
      <c r="M174" s="233"/>
      <c r="N174" s="233" t="s">
        <v>104</v>
      </c>
      <c r="O174" s="233"/>
      <c r="P174" s="233"/>
      <c r="Q174" s="233"/>
      <c r="R174" s="36"/>
    </row>
    <row r="175" spans="1:17" ht="36.75" customHeight="1">
      <c r="A175" s="31">
        <v>1</v>
      </c>
      <c r="B175" s="220" t="s">
        <v>127</v>
      </c>
      <c r="C175" s="220"/>
      <c r="D175" s="220"/>
      <c r="E175" s="233"/>
      <c r="F175" s="233"/>
      <c r="G175" s="233"/>
      <c r="H175" s="233"/>
      <c r="I175" s="237" t="s">
        <v>128</v>
      </c>
      <c r="J175" s="237"/>
      <c r="K175" s="237"/>
      <c r="L175" s="237"/>
      <c r="M175" s="237"/>
      <c r="N175" s="233"/>
      <c r="O175" s="233"/>
      <c r="P175" s="233"/>
      <c r="Q175" s="233"/>
    </row>
    <row r="176" spans="1:17" ht="48" customHeight="1">
      <c r="A176" s="31">
        <v>2</v>
      </c>
      <c r="B176" s="220" t="s">
        <v>129</v>
      </c>
      <c r="C176" s="220"/>
      <c r="D176" s="220"/>
      <c r="E176" s="233"/>
      <c r="F176" s="233"/>
      <c r="G176" s="233"/>
      <c r="H176" s="233"/>
      <c r="I176" s="237" t="s">
        <v>130</v>
      </c>
      <c r="J176" s="237"/>
      <c r="K176" s="237"/>
      <c r="L176" s="237"/>
      <c r="M176" s="237"/>
      <c r="N176" s="233"/>
      <c r="O176" s="233"/>
      <c r="P176" s="233"/>
      <c r="Q176" s="233"/>
    </row>
    <row r="177" spans="1:17" ht="24.75" customHeight="1">
      <c r="A177" s="31">
        <v>3</v>
      </c>
      <c r="B177" s="220" t="s">
        <v>131</v>
      </c>
      <c r="C177" s="220"/>
      <c r="D177" s="220"/>
      <c r="E177" s="233"/>
      <c r="F177" s="233"/>
      <c r="G177" s="233"/>
      <c r="H177" s="233"/>
      <c r="I177" s="237" t="s">
        <v>116</v>
      </c>
      <c r="J177" s="237"/>
      <c r="K177" s="237"/>
      <c r="L177" s="237"/>
      <c r="M177" s="237"/>
      <c r="N177" s="233"/>
      <c r="O177" s="233"/>
      <c r="P177" s="233"/>
      <c r="Q177" s="233"/>
    </row>
    <row r="178" spans="1:17" ht="50.25" customHeight="1">
      <c r="A178" s="31">
        <v>4</v>
      </c>
      <c r="B178" s="220" t="s">
        <v>132</v>
      </c>
      <c r="C178" s="220"/>
      <c r="D178" s="220"/>
      <c r="E178" s="233"/>
      <c r="F178" s="233"/>
      <c r="G178" s="233"/>
      <c r="H178" s="233"/>
      <c r="I178" s="237" t="s">
        <v>133</v>
      </c>
      <c r="J178" s="237"/>
      <c r="K178" s="237"/>
      <c r="L178" s="237"/>
      <c r="M178" s="237"/>
      <c r="N178" s="233"/>
      <c r="O178" s="233"/>
      <c r="P178" s="233"/>
      <c r="Q178" s="233"/>
    </row>
    <row r="180" spans="1:2" ht="15">
      <c r="A180" s="16" t="s">
        <v>134</v>
      </c>
      <c r="B180" s="17" t="s">
        <v>135</v>
      </c>
    </row>
    <row r="182" spans="1:18" ht="30.75" customHeight="1">
      <c r="A182" s="215" t="s">
        <v>60</v>
      </c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</row>
    <row r="185" ht="15">
      <c r="B185" s="1" t="s">
        <v>136</v>
      </c>
    </row>
    <row r="187" spans="1:17" ht="30" customHeight="1">
      <c r="A187" s="7" t="s">
        <v>100</v>
      </c>
      <c r="B187" s="239" t="s">
        <v>137</v>
      </c>
      <c r="C187" s="239"/>
      <c r="D187" s="239"/>
      <c r="E187" s="240" t="s">
        <v>138</v>
      </c>
      <c r="F187" s="240"/>
      <c r="G187" s="240"/>
      <c r="H187" s="240"/>
      <c r="I187" s="240" t="s">
        <v>139</v>
      </c>
      <c r="J187" s="240"/>
      <c r="K187" s="240"/>
      <c r="L187" s="240"/>
      <c r="M187" s="240"/>
      <c r="N187" s="240" t="s">
        <v>140</v>
      </c>
      <c r="O187" s="240"/>
      <c r="P187" s="240"/>
      <c r="Q187" s="240"/>
    </row>
    <row r="188" spans="1:17" ht="70.5" customHeight="1">
      <c r="A188" s="31">
        <v>1</v>
      </c>
      <c r="B188" s="220" t="s">
        <v>141</v>
      </c>
      <c r="C188" s="220"/>
      <c r="D188" s="220"/>
      <c r="E188" s="233">
        <v>2011</v>
      </c>
      <c r="F188" s="233"/>
      <c r="G188" s="233"/>
      <c r="H188" s="233"/>
      <c r="I188" s="241">
        <f>P85+P132</f>
        <v>9955178.200000001</v>
      </c>
      <c r="J188" s="241"/>
      <c r="K188" s="241"/>
      <c r="L188" s="241"/>
      <c r="M188" s="241"/>
      <c r="N188" s="233">
        <f>P67</f>
        <v>419</v>
      </c>
      <c r="O188" s="233"/>
      <c r="P188" s="233"/>
      <c r="Q188" s="233"/>
    </row>
    <row r="189" spans="1:17" ht="12.75" customHeight="1" hidden="1">
      <c r="A189" s="31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</row>
    <row r="190" spans="1:17" ht="12.75" customHeight="1" hidden="1">
      <c r="A190" s="31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</row>
    <row r="192" spans="1:18" ht="15" customHeight="1">
      <c r="A192" s="37" t="s">
        <v>142</v>
      </c>
      <c r="B192" s="38" t="s">
        <v>143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ht="13.5" customHeight="1">
      <c r="A193" s="1" t="s">
        <v>144</v>
      </c>
    </row>
    <row r="194" ht="14.25" customHeight="1">
      <c r="A194" s="1" t="s">
        <v>145</v>
      </c>
    </row>
    <row r="197" ht="15">
      <c r="B197" s="1" t="s">
        <v>146</v>
      </c>
    </row>
    <row r="199" spans="1:18" ht="61.5" customHeight="1">
      <c r="A199" s="245" t="s">
        <v>147</v>
      </c>
      <c r="B199" s="245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40"/>
    </row>
    <row r="202" ht="15">
      <c r="B202" s="1" t="s">
        <v>148</v>
      </c>
    </row>
    <row r="204" spans="1:17" ht="15">
      <c r="A204" s="233">
        <f>P85/P67</f>
        <v>22198.394272076373</v>
      </c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</row>
    <row r="207" ht="15">
      <c r="B207" s="1" t="s">
        <v>149</v>
      </c>
    </row>
    <row r="209" spans="1:17" ht="30.75" customHeight="1">
      <c r="A209" s="245" t="s">
        <v>150</v>
      </c>
      <c r="B209" s="245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2" ht="15">
      <c r="B212" s="1" t="s">
        <v>151</v>
      </c>
    </row>
    <row r="213" ht="9" customHeight="1"/>
    <row r="214" spans="1:17" ht="86.25" customHeight="1">
      <c r="A214" s="220" t="s">
        <v>152</v>
      </c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</row>
    <row r="215" spans="1:17" ht="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 ht="15">
      <c r="A216" s="41"/>
      <c r="B216" s="41" t="s">
        <v>153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ht="1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 ht="35.25" customHeight="1">
      <c r="A218" s="246" t="s">
        <v>154</v>
      </c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1:17" ht="15">
      <c r="A219" s="42" t="s">
        <v>155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4"/>
    </row>
    <row r="220" spans="1:17" ht="24.75" customHeight="1">
      <c r="A220" s="242" t="s">
        <v>156</v>
      </c>
      <c r="B220" s="242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</row>
    <row r="221" spans="1:17" ht="15">
      <c r="A221" s="243" t="s">
        <v>157</v>
      </c>
      <c r="B221" s="243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</row>
    <row r="222" spans="1:17" ht="15">
      <c r="A222" s="45" t="s">
        <v>158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7"/>
    </row>
    <row r="223" spans="1:17" ht="15">
      <c r="A223" s="48" t="s">
        <v>159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50"/>
    </row>
    <row r="225" spans="2:14" ht="15" customHeight="1">
      <c r="B225" s="205" t="s">
        <v>160</v>
      </c>
      <c r="C225" s="205"/>
      <c r="D225" s="205"/>
      <c r="E225" s="205"/>
      <c r="I225" s="49"/>
      <c r="J225" s="49"/>
      <c r="K225" s="244" t="s">
        <v>161</v>
      </c>
      <c r="L225" s="244"/>
      <c r="M225" s="244"/>
      <c r="N225" s="1" t="s">
        <v>162</v>
      </c>
    </row>
    <row r="227" spans="2:8" ht="15">
      <c r="B227" s="1" t="s">
        <v>163</v>
      </c>
      <c r="C227" s="49"/>
      <c r="E227" s="51" t="s">
        <v>164</v>
      </c>
      <c r="F227" s="49"/>
      <c r="G227" s="49"/>
      <c r="H227" s="49"/>
    </row>
    <row r="229" spans="2:14" ht="15">
      <c r="B229" s="205" t="s">
        <v>221</v>
      </c>
      <c r="C229" s="205"/>
      <c r="D229" s="205"/>
      <c r="E229" s="205"/>
      <c r="I229" s="49"/>
      <c r="J229" s="49"/>
      <c r="K229" s="244" t="s">
        <v>222</v>
      </c>
      <c r="L229" s="244"/>
      <c r="M229" s="244"/>
      <c r="N229" s="1" t="s">
        <v>162</v>
      </c>
    </row>
    <row r="231" spans="2:8" ht="15">
      <c r="B231" s="1" t="s">
        <v>163</v>
      </c>
      <c r="C231" s="49"/>
      <c r="E231" s="51" t="s">
        <v>164</v>
      </c>
      <c r="F231" s="49"/>
      <c r="G231" s="49"/>
      <c r="H231" s="49"/>
    </row>
  </sheetData>
  <sheetProtection/>
  <mergeCells count="271">
    <mergeCell ref="B229:E229"/>
    <mergeCell ref="K229:M229"/>
    <mergeCell ref="A209:Q209"/>
    <mergeCell ref="A214:Q214"/>
    <mergeCell ref="A218:Q218"/>
    <mergeCell ref="A220:Q220"/>
    <mergeCell ref="A221:Q221"/>
    <mergeCell ref="B225:E225"/>
    <mergeCell ref="K225:M225"/>
    <mergeCell ref="B190:D190"/>
    <mergeCell ref="E190:H190"/>
    <mergeCell ref="I190:M190"/>
    <mergeCell ref="N190:Q190"/>
    <mergeCell ref="A199:Q199"/>
    <mergeCell ref="A204:Q204"/>
    <mergeCell ref="B188:D188"/>
    <mergeCell ref="E188:H188"/>
    <mergeCell ref="I188:M188"/>
    <mergeCell ref="N188:Q188"/>
    <mergeCell ref="B189:D189"/>
    <mergeCell ref="E189:H189"/>
    <mergeCell ref="I189:M189"/>
    <mergeCell ref="N189:Q189"/>
    <mergeCell ref="B178:D178"/>
    <mergeCell ref="E178:H178"/>
    <mergeCell ref="I178:M178"/>
    <mergeCell ref="N178:Q178"/>
    <mergeCell ref="A182:R182"/>
    <mergeCell ref="B187:D187"/>
    <mergeCell ref="E187:H187"/>
    <mergeCell ref="I187:M187"/>
    <mergeCell ref="N187:Q187"/>
    <mergeCell ref="B176:D176"/>
    <mergeCell ref="E176:H176"/>
    <mergeCell ref="I176:M176"/>
    <mergeCell ref="N176:Q176"/>
    <mergeCell ref="B177:D177"/>
    <mergeCell ref="E177:H177"/>
    <mergeCell ref="I177:M177"/>
    <mergeCell ref="N177:Q177"/>
    <mergeCell ref="A169:R169"/>
    <mergeCell ref="B174:D174"/>
    <mergeCell ref="E174:H174"/>
    <mergeCell ref="I174:M174"/>
    <mergeCell ref="N174:Q174"/>
    <mergeCell ref="B175:D175"/>
    <mergeCell ref="E175:H175"/>
    <mergeCell ref="I175:M175"/>
    <mergeCell ref="N175:Q175"/>
    <mergeCell ref="N165:O165"/>
    <mergeCell ref="B166:C166"/>
    <mergeCell ref="D166:E166"/>
    <mergeCell ref="F166:G166"/>
    <mergeCell ref="H166:I166"/>
    <mergeCell ref="J166:K166"/>
    <mergeCell ref="L166:M166"/>
    <mergeCell ref="N166:O166"/>
    <mergeCell ref="B165:C165"/>
    <mergeCell ref="D165:E165"/>
    <mergeCell ref="F165:G165"/>
    <mergeCell ref="H165:I165"/>
    <mergeCell ref="J165:K165"/>
    <mergeCell ref="L165:M165"/>
    <mergeCell ref="N163:O163"/>
    <mergeCell ref="B164:C164"/>
    <mergeCell ref="D164:E164"/>
    <mergeCell ref="F164:G164"/>
    <mergeCell ref="H164:I164"/>
    <mergeCell ref="J164:K164"/>
    <mergeCell ref="L164:M164"/>
    <mergeCell ref="N164:O164"/>
    <mergeCell ref="B163:C163"/>
    <mergeCell ref="D163:E163"/>
    <mergeCell ref="F163:G163"/>
    <mergeCell ref="H163:I163"/>
    <mergeCell ref="J163:K163"/>
    <mergeCell ref="L163:M163"/>
    <mergeCell ref="N161:O161"/>
    <mergeCell ref="B162:C162"/>
    <mergeCell ref="D162:E162"/>
    <mergeCell ref="F162:G162"/>
    <mergeCell ref="H162:I162"/>
    <mergeCell ref="J162:K162"/>
    <mergeCell ref="L162:M162"/>
    <mergeCell ref="N162:O162"/>
    <mergeCell ref="B161:C161"/>
    <mergeCell ref="D161:E161"/>
    <mergeCell ref="F161:G161"/>
    <mergeCell ref="H161:I161"/>
    <mergeCell ref="J161:K161"/>
    <mergeCell ref="L161:M161"/>
    <mergeCell ref="N159:O159"/>
    <mergeCell ref="B160:C160"/>
    <mergeCell ref="D160:E160"/>
    <mergeCell ref="F160:G160"/>
    <mergeCell ref="H160:I160"/>
    <mergeCell ref="J160:K160"/>
    <mergeCell ref="L160:M160"/>
    <mergeCell ref="N160:O160"/>
    <mergeCell ref="A151:R151"/>
    <mergeCell ref="B158:C158"/>
    <mergeCell ref="D158:E158"/>
    <mergeCell ref="F158:M158"/>
    <mergeCell ref="N158:R158"/>
    <mergeCell ref="A159:E159"/>
    <mergeCell ref="F159:G159"/>
    <mergeCell ref="H159:I159"/>
    <mergeCell ref="J159:K159"/>
    <mergeCell ref="L159:M159"/>
    <mergeCell ref="A144:C144"/>
    <mergeCell ref="A145:C145"/>
    <mergeCell ref="A146:C146"/>
    <mergeCell ref="P146:Q146"/>
    <mergeCell ref="A147:C147"/>
    <mergeCell ref="P147:Q147"/>
    <mergeCell ref="A141:C141"/>
    <mergeCell ref="P141:Q141"/>
    <mergeCell ref="A142:C142"/>
    <mergeCell ref="P142:Q142"/>
    <mergeCell ref="A143:C143"/>
    <mergeCell ref="P143:Q143"/>
    <mergeCell ref="A138:C138"/>
    <mergeCell ref="P138:Q138"/>
    <mergeCell ref="A139:C139"/>
    <mergeCell ref="P139:Q139"/>
    <mergeCell ref="A140:C140"/>
    <mergeCell ref="P140:Q140"/>
    <mergeCell ref="A135:C135"/>
    <mergeCell ref="P135:Q135"/>
    <mergeCell ref="A136:C136"/>
    <mergeCell ref="P136:Q136"/>
    <mergeCell ref="A137:C137"/>
    <mergeCell ref="P137:Q137"/>
    <mergeCell ref="A132:C132"/>
    <mergeCell ref="P132:Q132"/>
    <mergeCell ref="A133:C133"/>
    <mergeCell ref="P133:Q133"/>
    <mergeCell ref="A134:C134"/>
    <mergeCell ref="P134:Q134"/>
    <mergeCell ref="A120:C120"/>
    <mergeCell ref="P120:Q120"/>
    <mergeCell ref="A121:C121"/>
    <mergeCell ref="P121:Q121"/>
    <mergeCell ref="A125:R125"/>
    <mergeCell ref="A130:C131"/>
    <mergeCell ref="D130:O130"/>
    <mergeCell ref="P130:Q131"/>
    <mergeCell ref="A108:B108"/>
    <mergeCell ref="P108:Q108"/>
    <mergeCell ref="A113:R113"/>
    <mergeCell ref="A118:C119"/>
    <mergeCell ref="D118:O118"/>
    <mergeCell ref="P118:Q119"/>
    <mergeCell ref="A104:B105"/>
    <mergeCell ref="P104:Q104"/>
    <mergeCell ref="P105:Q105"/>
    <mergeCell ref="A106:B107"/>
    <mergeCell ref="P106:Q106"/>
    <mergeCell ref="P107:Q107"/>
    <mergeCell ref="A100:B101"/>
    <mergeCell ref="P100:Q100"/>
    <mergeCell ref="P101:Q101"/>
    <mergeCell ref="A102:B103"/>
    <mergeCell ref="P102:Q102"/>
    <mergeCell ref="P103:Q103"/>
    <mergeCell ref="A90:R90"/>
    <mergeCell ref="A96:B97"/>
    <mergeCell ref="C96:C97"/>
    <mergeCell ref="D96:O96"/>
    <mergeCell ref="P96:Q97"/>
    <mergeCell ref="A98:B99"/>
    <mergeCell ref="P98:Q98"/>
    <mergeCell ref="P99:Q99"/>
    <mergeCell ref="A76:R76"/>
    <mergeCell ref="A83:C84"/>
    <mergeCell ref="D83:O83"/>
    <mergeCell ref="P83:Q84"/>
    <mergeCell ref="A85:C85"/>
    <mergeCell ref="P85:Q85"/>
    <mergeCell ref="A68:C68"/>
    <mergeCell ref="P68:Q68"/>
    <mergeCell ref="A69:C69"/>
    <mergeCell ref="P69:Q69"/>
    <mergeCell ref="A70:C70"/>
    <mergeCell ref="P70:Q70"/>
    <mergeCell ref="D60:E60"/>
    <mergeCell ref="F60:G60"/>
    <mergeCell ref="A65:C66"/>
    <mergeCell ref="D65:O65"/>
    <mergeCell ref="P65:Q66"/>
    <mergeCell ref="A67:C67"/>
    <mergeCell ref="P67:Q67"/>
    <mergeCell ref="A40:B61"/>
    <mergeCell ref="C40:C61"/>
    <mergeCell ref="D43:E43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L40:M40"/>
    <mergeCell ref="N40:O40"/>
    <mergeCell ref="D41:E41"/>
    <mergeCell ref="F41:G41"/>
    <mergeCell ref="D42:E42"/>
    <mergeCell ref="F42:G42"/>
    <mergeCell ref="D40:E40"/>
    <mergeCell ref="F40:G40"/>
    <mergeCell ref="H40:I40"/>
    <mergeCell ref="J40:K40"/>
    <mergeCell ref="F43:G43"/>
    <mergeCell ref="D44:E44"/>
    <mergeCell ref="F44:G44"/>
    <mergeCell ref="P38:R38"/>
    <mergeCell ref="D39:E39"/>
    <mergeCell ref="F39:G39"/>
    <mergeCell ref="H39:I39"/>
    <mergeCell ref="J39:K39"/>
    <mergeCell ref="L39:M39"/>
    <mergeCell ref="N39:O39"/>
    <mergeCell ref="J22:K32"/>
    <mergeCell ref="L22:M32"/>
    <mergeCell ref="N22:O32"/>
    <mergeCell ref="P22:P32"/>
    <mergeCell ref="Q22:R32"/>
    <mergeCell ref="A37:B39"/>
    <mergeCell ref="C37:C39"/>
    <mergeCell ref="D37:R37"/>
    <mergeCell ref="D38:I38"/>
    <mergeCell ref="J38:O38"/>
    <mergeCell ref="A22:A32"/>
    <mergeCell ref="B22:B32"/>
    <mergeCell ref="C22:C32"/>
    <mergeCell ref="D22:E32"/>
    <mergeCell ref="F22:G32"/>
    <mergeCell ref="H22:I32"/>
    <mergeCell ref="A12:R12"/>
    <mergeCell ref="A13:R13"/>
    <mergeCell ref="A14:R14"/>
    <mergeCell ref="D21:E21"/>
    <mergeCell ref="F21:G21"/>
    <mergeCell ref="H21:I21"/>
    <mergeCell ref="J21:K21"/>
    <mergeCell ref="L21:M21"/>
    <mergeCell ref="N21:O21"/>
    <mergeCell ref="Q21:R21"/>
  </mergeCells>
  <printOptions/>
  <pageMargins left="0" right="0" top="0" bottom="0" header="0.5118055555555555" footer="0.5118055555555555"/>
  <pageSetup horizontalDpi="300" verticalDpi="300" orientation="landscape" paperSize="9" scale="90"/>
  <rowBreaks count="1" manualBreakCount="1">
    <brk id="1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93"/>
  <sheetViews>
    <sheetView zoomScaleSheetLayoutView="100" zoomScalePageLayoutView="0" workbookViewId="0" topLeftCell="A14">
      <selection activeCell="H23" activeCellId="1" sqref="D119:I119 H23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6" width="5.7109375" style="1" customWidth="1"/>
    <col min="7" max="9" width="5.8515625" style="1" customWidth="1"/>
    <col min="10" max="10" width="6.140625" style="1" customWidth="1"/>
    <col min="11" max="11" width="8.421875" style="1" customWidth="1"/>
    <col min="12" max="12" width="6.7109375" style="1" customWidth="1"/>
    <col min="13" max="13" width="7.57421875" style="1" customWidth="1"/>
    <col min="14" max="14" width="6.421875" style="1" customWidth="1"/>
    <col min="15" max="15" width="7.00390625" style="1" customWidth="1"/>
    <col min="16" max="16" width="12.57421875" style="1" customWidth="1"/>
    <col min="17" max="17" width="11.140625" style="1" customWidth="1"/>
    <col min="18" max="18" width="10.28125" style="1" customWidth="1"/>
    <col min="19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5" hidden="1"/>
    <row r="12" spans="1:18" ht="15" customHeight="1">
      <c r="A12" s="204" t="s">
        <v>10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</row>
    <row r="13" spans="1:18" ht="15">
      <c r="A13" s="205" t="s">
        <v>11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18" ht="15">
      <c r="A14" s="205" t="s">
        <v>223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</row>
    <row r="17" spans="2:23" ht="15">
      <c r="B17" s="1" t="s">
        <v>224</v>
      </c>
      <c r="I17" s="3"/>
      <c r="J17" s="3"/>
      <c r="K17" s="3"/>
      <c r="L17" s="3"/>
      <c r="M17" s="3"/>
      <c r="N17" s="3"/>
      <c r="O17" s="3"/>
      <c r="S17" s="4"/>
      <c r="T17" s="4"/>
      <c r="U17" s="4"/>
      <c r="V17" s="4"/>
      <c r="W17" s="4"/>
    </row>
    <row r="19" ht="15">
      <c r="B19" s="1" t="s">
        <v>14</v>
      </c>
    </row>
    <row r="21" spans="1:18" ht="93" customHeight="1">
      <c r="A21" s="5" t="s">
        <v>15</v>
      </c>
      <c r="B21" s="5" t="s">
        <v>16</v>
      </c>
      <c r="C21" s="5" t="s">
        <v>17</v>
      </c>
      <c r="D21" s="202" t="s">
        <v>18</v>
      </c>
      <c r="E21" s="202"/>
      <c r="F21" s="202" t="s">
        <v>19</v>
      </c>
      <c r="G21" s="202"/>
      <c r="H21" s="202" t="s">
        <v>20</v>
      </c>
      <c r="I21" s="202"/>
      <c r="J21" s="202" t="s">
        <v>21</v>
      </c>
      <c r="K21" s="202"/>
      <c r="L21" s="202" t="s">
        <v>22</v>
      </c>
      <c r="M21" s="202"/>
      <c r="N21" s="202" t="s">
        <v>23</v>
      </c>
      <c r="O21" s="202"/>
      <c r="P21" s="5" t="s">
        <v>24</v>
      </c>
      <c r="Q21" s="202" t="s">
        <v>25</v>
      </c>
      <c r="R21" s="202"/>
    </row>
    <row r="22" spans="1:18" s="6" customFormat="1" ht="222" customHeight="1">
      <c r="A22" s="181">
        <v>1</v>
      </c>
      <c r="B22" s="182" t="s">
        <v>26</v>
      </c>
      <c r="C22" s="181" t="s">
        <v>225</v>
      </c>
      <c r="D22" s="261" t="s">
        <v>226</v>
      </c>
      <c r="E22" s="261"/>
      <c r="F22" s="259" t="s">
        <v>227</v>
      </c>
      <c r="G22" s="259"/>
      <c r="H22" s="259" t="s">
        <v>228</v>
      </c>
      <c r="I22" s="259"/>
      <c r="J22" s="260" t="s">
        <v>229</v>
      </c>
      <c r="K22" s="260"/>
      <c r="L22" s="259" t="s">
        <v>32</v>
      </c>
      <c r="M22" s="259"/>
      <c r="N22" s="261" t="s">
        <v>230</v>
      </c>
      <c r="O22" s="261"/>
      <c r="P22" s="183" t="s">
        <v>231</v>
      </c>
      <c r="Q22" s="260" t="s">
        <v>232</v>
      </c>
      <c r="R22" s="260"/>
    </row>
    <row r="23" spans="1:18" s="6" customFormat="1" ht="409.5" customHeight="1">
      <c r="A23" s="184"/>
      <c r="B23" s="185"/>
      <c r="C23" s="184"/>
      <c r="D23" s="262"/>
      <c r="E23" s="262"/>
      <c r="F23" s="263"/>
      <c r="G23" s="263"/>
      <c r="H23" s="263"/>
      <c r="I23" s="263"/>
      <c r="J23" s="264" t="s">
        <v>233</v>
      </c>
      <c r="K23" s="264"/>
      <c r="L23" s="263"/>
      <c r="M23" s="263"/>
      <c r="N23" s="262"/>
      <c r="O23" s="262"/>
      <c r="P23" s="187" t="s">
        <v>234</v>
      </c>
      <c r="Q23" s="265" t="s">
        <v>235</v>
      </c>
      <c r="R23" s="265"/>
    </row>
    <row r="26" ht="15">
      <c r="B26" s="1" t="s">
        <v>36</v>
      </c>
    </row>
    <row r="28" spans="1:18" ht="15" customHeight="1">
      <c r="A28" s="202" t="s">
        <v>16</v>
      </c>
      <c r="B28" s="202"/>
      <c r="C28" s="202" t="s">
        <v>37</v>
      </c>
      <c r="D28" s="206" t="s">
        <v>38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</row>
    <row r="29" spans="1:18" ht="28.5" customHeight="1">
      <c r="A29" s="202"/>
      <c r="B29" s="202"/>
      <c r="C29" s="202"/>
      <c r="D29" s="206" t="s">
        <v>39</v>
      </c>
      <c r="E29" s="206"/>
      <c r="F29" s="206"/>
      <c r="G29" s="206"/>
      <c r="H29" s="206"/>
      <c r="I29" s="206"/>
      <c r="J29" s="206" t="s">
        <v>40</v>
      </c>
      <c r="K29" s="206"/>
      <c r="L29" s="206"/>
      <c r="M29" s="206"/>
      <c r="N29" s="206"/>
      <c r="O29" s="206"/>
      <c r="P29" s="206" t="s">
        <v>41</v>
      </c>
      <c r="Q29" s="206"/>
      <c r="R29" s="206"/>
    </row>
    <row r="30" spans="1:19" ht="83.25" customHeight="1">
      <c r="A30" s="202"/>
      <c r="B30" s="202"/>
      <c r="C30" s="202"/>
      <c r="D30" s="202" t="s">
        <v>42</v>
      </c>
      <c r="E30" s="202"/>
      <c r="F30" s="202" t="s">
        <v>43</v>
      </c>
      <c r="G30" s="202"/>
      <c r="H30" s="202" t="s">
        <v>44</v>
      </c>
      <c r="I30" s="202"/>
      <c r="J30" s="202" t="s">
        <v>42</v>
      </c>
      <c r="K30" s="202"/>
      <c r="L30" s="202" t="s">
        <v>43</v>
      </c>
      <c r="M30" s="202"/>
      <c r="N30" s="202" t="s">
        <v>44</v>
      </c>
      <c r="O30" s="202"/>
      <c r="P30" s="8" t="s">
        <v>42</v>
      </c>
      <c r="Q30" s="8" t="s">
        <v>43</v>
      </c>
      <c r="R30" s="8" t="s">
        <v>44</v>
      </c>
      <c r="S30" s="9"/>
    </row>
    <row r="31" spans="1:18" s="10" customFormat="1" ht="199.5" customHeight="1">
      <c r="A31" s="253" t="s">
        <v>26</v>
      </c>
      <c r="B31" s="253"/>
      <c r="C31" s="188" t="s">
        <v>231</v>
      </c>
      <c r="D31" s="255" t="s">
        <v>46</v>
      </c>
      <c r="E31" s="255"/>
      <c r="F31" s="255" t="s">
        <v>47</v>
      </c>
      <c r="G31" s="255"/>
      <c r="H31" s="253"/>
      <c r="I31" s="253"/>
      <c r="J31" s="254"/>
      <c r="K31" s="254"/>
      <c r="L31" s="253"/>
      <c r="M31" s="253"/>
      <c r="N31" s="254"/>
      <c r="O31" s="254"/>
      <c r="P31" s="158" t="s">
        <v>48</v>
      </c>
      <c r="Q31" s="159" t="s">
        <v>49</v>
      </c>
      <c r="R31" s="160"/>
    </row>
    <row r="32" spans="1:18" ht="378.75" customHeight="1">
      <c r="A32" s="266"/>
      <c r="B32" s="266"/>
      <c r="C32" s="186" t="s">
        <v>234</v>
      </c>
      <c r="D32" s="266"/>
      <c r="E32" s="266"/>
      <c r="F32" s="244"/>
      <c r="G32" s="244"/>
      <c r="H32" s="266"/>
      <c r="I32" s="266"/>
      <c r="J32" s="244"/>
      <c r="K32" s="244"/>
      <c r="L32" s="266"/>
      <c r="M32" s="266"/>
      <c r="N32" s="244"/>
      <c r="O32" s="244"/>
      <c r="P32" s="189"/>
      <c r="Q32" s="190"/>
      <c r="R32" s="191"/>
    </row>
    <row r="34" ht="15">
      <c r="B34" s="1" t="s">
        <v>50</v>
      </c>
    </row>
    <row r="36" spans="1:17" ht="28.5" customHeight="1">
      <c r="A36" s="206" t="s">
        <v>51</v>
      </c>
      <c r="B36" s="206"/>
      <c r="C36" s="206"/>
      <c r="D36" s="206" t="s">
        <v>52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 t="s">
        <v>53</v>
      </c>
      <c r="Q36" s="206"/>
    </row>
    <row r="37" spans="1:17" ht="15">
      <c r="A37" s="206"/>
      <c r="B37" s="206"/>
      <c r="C37" s="206"/>
      <c r="D37" s="11">
        <v>1</v>
      </c>
      <c r="E37" s="11">
        <v>2</v>
      </c>
      <c r="F37" s="11">
        <v>3</v>
      </c>
      <c r="G37" s="11">
        <v>4</v>
      </c>
      <c r="H37" s="11">
        <v>5</v>
      </c>
      <c r="I37" s="11">
        <v>6</v>
      </c>
      <c r="J37" s="11">
        <v>7</v>
      </c>
      <c r="K37" s="11">
        <v>8</v>
      </c>
      <c r="L37" s="11">
        <v>9</v>
      </c>
      <c r="M37" s="11">
        <v>10</v>
      </c>
      <c r="N37" s="11">
        <v>11</v>
      </c>
      <c r="O37" s="11">
        <v>12</v>
      </c>
      <c r="P37" s="206"/>
      <c r="Q37" s="206"/>
    </row>
    <row r="38" spans="1:17" ht="118.5" customHeight="1">
      <c r="A38" s="212" t="s">
        <v>236</v>
      </c>
      <c r="B38" s="212"/>
      <c r="C38" s="212"/>
      <c r="D38" s="12">
        <f>D39</f>
        <v>419</v>
      </c>
      <c r="E38" s="12">
        <f aca="true" t="shared" si="0" ref="E38:O38">E39</f>
        <v>419</v>
      </c>
      <c r="F38" s="12">
        <f t="shared" si="0"/>
        <v>419</v>
      </c>
      <c r="G38" s="12">
        <f t="shared" si="0"/>
        <v>419</v>
      </c>
      <c r="H38" s="12">
        <f t="shared" si="0"/>
        <v>419</v>
      </c>
      <c r="I38" s="12">
        <f t="shared" si="0"/>
        <v>419</v>
      </c>
      <c r="J38" s="12">
        <f t="shared" si="0"/>
        <v>419</v>
      </c>
      <c r="K38" s="12">
        <f t="shared" si="0"/>
        <v>419</v>
      </c>
      <c r="L38" s="12">
        <f t="shared" si="0"/>
        <v>419</v>
      </c>
      <c r="M38" s="12">
        <f t="shared" si="0"/>
        <v>419</v>
      </c>
      <c r="N38" s="12">
        <f t="shared" si="0"/>
        <v>419</v>
      </c>
      <c r="O38" s="12">
        <f t="shared" si="0"/>
        <v>419</v>
      </c>
      <c r="P38" s="213">
        <f>P39</f>
        <v>419</v>
      </c>
      <c r="Q38" s="213"/>
    </row>
    <row r="39" spans="1:17" ht="50.25" customHeight="1">
      <c r="A39" s="214" t="s">
        <v>237</v>
      </c>
      <c r="B39" s="214"/>
      <c r="C39" s="214"/>
      <c r="D39" s="14">
        <v>419</v>
      </c>
      <c r="E39" s="15">
        <f aca="true" t="shared" si="1" ref="E39:F41">D39</f>
        <v>419</v>
      </c>
      <c r="F39" s="15">
        <f t="shared" si="1"/>
        <v>419</v>
      </c>
      <c r="G39" s="15">
        <f aca="true" t="shared" si="2" ref="G39:P41">F39</f>
        <v>419</v>
      </c>
      <c r="H39" s="15">
        <f t="shared" si="2"/>
        <v>419</v>
      </c>
      <c r="I39" s="15">
        <f t="shared" si="2"/>
        <v>419</v>
      </c>
      <c r="J39" s="15">
        <f t="shared" si="2"/>
        <v>419</v>
      </c>
      <c r="K39" s="15">
        <f t="shared" si="2"/>
        <v>419</v>
      </c>
      <c r="L39" s="15">
        <f t="shared" si="2"/>
        <v>419</v>
      </c>
      <c r="M39" s="15">
        <f t="shared" si="2"/>
        <v>419</v>
      </c>
      <c r="N39" s="15">
        <f t="shared" si="2"/>
        <v>419</v>
      </c>
      <c r="O39" s="15">
        <f t="shared" si="2"/>
        <v>419</v>
      </c>
      <c r="P39" s="213">
        <f>O39</f>
        <v>419</v>
      </c>
      <c r="Q39" s="213"/>
    </row>
    <row r="40" spans="1:17" ht="34.5" customHeight="1">
      <c r="A40" s="214" t="s">
        <v>238</v>
      </c>
      <c r="B40" s="214"/>
      <c r="C40" s="214"/>
      <c r="D40" s="15">
        <f>D39</f>
        <v>419</v>
      </c>
      <c r="E40" s="15">
        <f t="shared" si="1"/>
        <v>419</v>
      </c>
      <c r="F40" s="15">
        <f t="shared" si="1"/>
        <v>419</v>
      </c>
      <c r="G40" s="15">
        <f t="shared" si="2"/>
        <v>419</v>
      </c>
      <c r="H40" s="15">
        <f t="shared" si="2"/>
        <v>419</v>
      </c>
      <c r="I40" s="15">
        <f t="shared" si="2"/>
        <v>419</v>
      </c>
      <c r="J40" s="15">
        <f t="shared" si="2"/>
        <v>419</v>
      </c>
      <c r="K40" s="15">
        <f t="shared" si="2"/>
        <v>419</v>
      </c>
      <c r="L40" s="15">
        <f t="shared" si="2"/>
        <v>419</v>
      </c>
      <c r="M40" s="15">
        <f t="shared" si="2"/>
        <v>419</v>
      </c>
      <c r="N40" s="15">
        <f t="shared" si="2"/>
        <v>419</v>
      </c>
      <c r="O40" s="15">
        <f t="shared" si="2"/>
        <v>419</v>
      </c>
      <c r="P40" s="213">
        <f t="shared" si="2"/>
        <v>419</v>
      </c>
      <c r="Q40" s="213"/>
    </row>
    <row r="41" spans="1:17" ht="42" customHeight="1">
      <c r="A41" s="214" t="s">
        <v>239</v>
      </c>
      <c r="B41" s="214"/>
      <c r="C41" s="214"/>
      <c r="D41" s="15">
        <f>D40</f>
        <v>419</v>
      </c>
      <c r="E41" s="15">
        <f t="shared" si="1"/>
        <v>419</v>
      </c>
      <c r="F41" s="15">
        <f t="shared" si="1"/>
        <v>419</v>
      </c>
      <c r="G41" s="15">
        <f t="shared" si="2"/>
        <v>419</v>
      </c>
      <c r="H41" s="15">
        <f t="shared" si="2"/>
        <v>419</v>
      </c>
      <c r="I41" s="15">
        <f t="shared" si="2"/>
        <v>419</v>
      </c>
      <c r="J41" s="15">
        <f t="shared" si="2"/>
        <v>419</v>
      </c>
      <c r="K41" s="15">
        <f t="shared" si="2"/>
        <v>419</v>
      </c>
      <c r="L41" s="15">
        <f t="shared" si="2"/>
        <v>419</v>
      </c>
      <c r="M41" s="15">
        <f t="shared" si="2"/>
        <v>419</v>
      </c>
      <c r="N41" s="15">
        <f t="shared" si="2"/>
        <v>419</v>
      </c>
      <c r="O41" s="15">
        <f t="shared" si="2"/>
        <v>419</v>
      </c>
      <c r="P41" s="213">
        <f t="shared" si="2"/>
        <v>419</v>
      </c>
      <c r="Q41" s="213"/>
    </row>
    <row r="42" ht="15" hidden="1"/>
    <row r="44" spans="1:2" ht="15">
      <c r="A44" s="16" t="s">
        <v>58</v>
      </c>
      <c r="B44" s="17" t="s">
        <v>218</v>
      </c>
    </row>
    <row r="46" ht="15" hidden="1"/>
    <row r="47" spans="1:18" ht="27.75" customHeight="1">
      <c r="A47" s="215" t="s">
        <v>60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50" ht="15">
      <c r="B50" s="1" t="s">
        <v>61</v>
      </c>
    </row>
    <row r="52" ht="15">
      <c r="B52" s="1" t="s">
        <v>62</v>
      </c>
    </row>
    <row r="54" spans="1:17" ht="15" customHeight="1">
      <c r="A54" s="206" t="s">
        <v>63</v>
      </c>
      <c r="B54" s="206"/>
      <c r="C54" s="206"/>
      <c r="D54" s="206" t="s">
        <v>52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 t="s">
        <v>64</v>
      </c>
      <c r="Q54" s="206"/>
    </row>
    <row r="55" spans="1:17" ht="15">
      <c r="A55" s="206"/>
      <c r="B55" s="206"/>
      <c r="C55" s="206"/>
      <c r="D55" s="11">
        <v>1</v>
      </c>
      <c r="E55" s="11">
        <v>2</v>
      </c>
      <c r="F55" s="11">
        <v>3</v>
      </c>
      <c r="G55" s="11">
        <v>4</v>
      </c>
      <c r="H55" s="11">
        <v>5</v>
      </c>
      <c r="I55" s="11">
        <v>6</v>
      </c>
      <c r="J55" s="11">
        <v>7</v>
      </c>
      <c r="K55" s="11">
        <v>8</v>
      </c>
      <c r="L55" s="11">
        <v>9</v>
      </c>
      <c r="M55" s="11">
        <v>10</v>
      </c>
      <c r="N55" s="11">
        <v>11</v>
      </c>
      <c r="O55" s="11">
        <v>12</v>
      </c>
      <c r="P55" s="206"/>
      <c r="Q55" s="206"/>
    </row>
    <row r="56" spans="1:17" ht="91.5" customHeight="1">
      <c r="A56" s="212" t="s">
        <v>240</v>
      </c>
      <c r="B56" s="212"/>
      <c r="C56" s="212"/>
      <c r="D56" s="178">
        <f>D75+D87</f>
        <v>0</v>
      </c>
      <c r="E56" s="178">
        <f aca="true" t="shared" si="3" ref="E56:P56">E75+E87</f>
        <v>0</v>
      </c>
      <c r="F56" s="178">
        <f t="shared" si="3"/>
        <v>0</v>
      </c>
      <c r="G56" s="178">
        <f t="shared" si="3"/>
        <v>0</v>
      </c>
      <c r="H56" s="178">
        <f t="shared" si="3"/>
        <v>0</v>
      </c>
      <c r="I56" s="178">
        <f t="shared" si="3"/>
        <v>9301127.200000001</v>
      </c>
      <c r="J56" s="178">
        <f t="shared" si="3"/>
        <v>0</v>
      </c>
      <c r="K56" s="178">
        <f t="shared" si="3"/>
        <v>0</v>
      </c>
      <c r="L56" s="178">
        <f t="shared" si="3"/>
        <v>0</v>
      </c>
      <c r="M56" s="178">
        <f t="shared" si="3"/>
        <v>0</v>
      </c>
      <c r="N56" s="178">
        <f t="shared" si="3"/>
        <v>0</v>
      </c>
      <c r="O56" s="178">
        <f t="shared" si="3"/>
        <v>0</v>
      </c>
      <c r="P56" s="257">
        <f t="shared" si="3"/>
        <v>9301127.200000001</v>
      </c>
      <c r="Q56" s="257"/>
    </row>
    <row r="57" ht="15" hidden="1"/>
    <row r="59" spans="1:13" ht="15">
      <c r="A59" s="16" t="s">
        <v>58</v>
      </c>
      <c r="B59" s="17" t="s">
        <v>218</v>
      </c>
      <c r="M59" s="1" t="s">
        <v>66</v>
      </c>
    </row>
    <row r="61" spans="1:18" ht="29.25" customHeight="1">
      <c r="A61" s="215" t="s">
        <v>60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</row>
    <row r="65" ht="15">
      <c r="B65" s="1" t="s">
        <v>67</v>
      </c>
    </row>
    <row r="67" spans="1:17" ht="15" customHeight="1">
      <c r="A67" s="206" t="s">
        <v>51</v>
      </c>
      <c r="B67" s="206"/>
      <c r="C67" s="206" t="s">
        <v>68</v>
      </c>
      <c r="D67" s="206" t="s">
        <v>69</v>
      </c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 t="s">
        <v>64</v>
      </c>
      <c r="Q67" s="206"/>
    </row>
    <row r="68" spans="1:17" ht="41.25" customHeight="1">
      <c r="A68" s="206"/>
      <c r="B68" s="206"/>
      <c r="C68" s="206"/>
      <c r="D68" s="11">
        <v>1</v>
      </c>
      <c r="E68" s="11">
        <v>2</v>
      </c>
      <c r="F68" s="11">
        <v>3</v>
      </c>
      <c r="G68" s="11">
        <v>4</v>
      </c>
      <c r="H68" s="11">
        <v>5</v>
      </c>
      <c r="I68" s="11">
        <v>6</v>
      </c>
      <c r="J68" s="11">
        <v>7</v>
      </c>
      <c r="K68" s="11">
        <v>8</v>
      </c>
      <c r="L68" s="11">
        <v>9</v>
      </c>
      <c r="M68" s="11">
        <v>10</v>
      </c>
      <c r="N68" s="11">
        <v>11</v>
      </c>
      <c r="O68" s="11">
        <v>12</v>
      </c>
      <c r="P68" s="206"/>
      <c r="Q68" s="206"/>
    </row>
    <row r="69" spans="1:17" ht="41.25" customHeight="1">
      <c r="A69" s="217" t="s">
        <v>241</v>
      </c>
      <c r="B69" s="217"/>
      <c r="C69" s="20" t="s">
        <v>71</v>
      </c>
      <c r="D69" s="21">
        <f>ROUND(D70/D38,2)</f>
        <v>0</v>
      </c>
      <c r="E69" s="21">
        <f aca="true" t="shared" si="4" ref="E69:O69">ROUND(E70/E38,2)</f>
        <v>0</v>
      </c>
      <c r="F69" s="21">
        <f t="shared" si="4"/>
        <v>0</v>
      </c>
      <c r="G69" s="21">
        <f t="shared" si="4"/>
        <v>0</v>
      </c>
      <c r="H69" s="21">
        <f t="shared" si="4"/>
        <v>0</v>
      </c>
      <c r="I69" s="21">
        <f t="shared" si="4"/>
        <v>8043.18</v>
      </c>
      <c r="J69" s="21">
        <f t="shared" si="4"/>
        <v>0</v>
      </c>
      <c r="K69" s="21">
        <f t="shared" si="4"/>
        <v>0</v>
      </c>
      <c r="L69" s="21">
        <f t="shared" si="4"/>
        <v>0</v>
      </c>
      <c r="M69" s="21">
        <f t="shared" si="4"/>
        <v>0</v>
      </c>
      <c r="N69" s="21">
        <f t="shared" si="4"/>
        <v>0</v>
      </c>
      <c r="O69" s="21">
        <f t="shared" si="4"/>
        <v>0</v>
      </c>
      <c r="P69" s="218">
        <f>SUM(D69:O69)</f>
        <v>8043.18</v>
      </c>
      <c r="Q69" s="218"/>
    </row>
    <row r="70" spans="1:17" ht="54.75" customHeight="1">
      <c r="A70" s="217"/>
      <c r="B70" s="217"/>
      <c r="C70" s="20" t="s">
        <v>72</v>
      </c>
      <c r="D70" s="22"/>
      <c r="E70" s="22"/>
      <c r="F70" s="22"/>
      <c r="G70" s="22"/>
      <c r="H70" s="22"/>
      <c r="I70" s="22">
        <v>3370090.71</v>
      </c>
      <c r="J70" s="22"/>
      <c r="K70" s="22"/>
      <c r="L70" s="22"/>
      <c r="M70" s="22"/>
      <c r="N70" s="22"/>
      <c r="O70" s="22"/>
      <c r="P70" s="218">
        <f aca="true" t="shared" si="5" ref="P70:P75">SUM(D70:O70)</f>
        <v>3370090.71</v>
      </c>
      <c r="Q70" s="218"/>
    </row>
    <row r="71" spans="1:17" ht="41.25" customHeight="1">
      <c r="A71" s="217" t="s">
        <v>242</v>
      </c>
      <c r="B71" s="217"/>
      <c r="C71" s="20" t="s">
        <v>71</v>
      </c>
      <c r="D71" s="21">
        <f>D72/D38</f>
        <v>0</v>
      </c>
      <c r="E71" s="21">
        <f aca="true" t="shared" si="6" ref="E71:O71">E72/E38</f>
        <v>0</v>
      </c>
      <c r="F71" s="21">
        <f t="shared" si="6"/>
        <v>0</v>
      </c>
      <c r="G71" s="21">
        <f t="shared" si="6"/>
        <v>0</v>
      </c>
      <c r="H71" s="21">
        <f t="shared" si="6"/>
        <v>0</v>
      </c>
      <c r="I71" s="21">
        <f t="shared" si="6"/>
        <v>10826.430047732698</v>
      </c>
      <c r="J71" s="21">
        <f t="shared" si="6"/>
        <v>0</v>
      </c>
      <c r="K71" s="21">
        <f t="shared" si="6"/>
        <v>0</v>
      </c>
      <c r="L71" s="21">
        <f t="shared" si="6"/>
        <v>0</v>
      </c>
      <c r="M71" s="21">
        <f t="shared" si="6"/>
        <v>0</v>
      </c>
      <c r="N71" s="21">
        <f t="shared" si="6"/>
        <v>0</v>
      </c>
      <c r="O71" s="21">
        <f t="shared" si="6"/>
        <v>0</v>
      </c>
      <c r="P71" s="218">
        <f t="shared" si="5"/>
        <v>10826.430047732698</v>
      </c>
      <c r="Q71" s="218"/>
    </row>
    <row r="72" spans="1:17" ht="54" customHeight="1">
      <c r="A72" s="217"/>
      <c r="B72" s="217"/>
      <c r="C72" s="20" t="s">
        <v>72</v>
      </c>
      <c r="D72" s="22"/>
      <c r="E72" s="22"/>
      <c r="F72" s="22"/>
      <c r="G72" s="22"/>
      <c r="H72" s="22"/>
      <c r="I72" s="22">
        <v>4536274.19</v>
      </c>
      <c r="J72" s="22"/>
      <c r="K72" s="22"/>
      <c r="L72" s="22"/>
      <c r="M72" s="22"/>
      <c r="N72" s="22"/>
      <c r="O72" s="22"/>
      <c r="P72" s="218">
        <f t="shared" si="5"/>
        <v>4536274.19</v>
      </c>
      <c r="Q72" s="218"/>
    </row>
    <row r="73" spans="1:17" ht="12.75" customHeight="1" hidden="1">
      <c r="A73" s="217" t="s">
        <v>75</v>
      </c>
      <c r="B73" s="217"/>
      <c r="C73" s="19" t="s">
        <v>71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8">
        <f t="shared" si="5"/>
        <v>0</v>
      </c>
      <c r="Q73" s="218"/>
    </row>
    <row r="74" spans="1:17" ht="12.75" customHeight="1" hidden="1">
      <c r="A74" s="217"/>
      <c r="B74" s="217"/>
      <c r="C74" s="19" t="s">
        <v>72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8">
        <f t="shared" si="5"/>
        <v>0</v>
      </c>
      <c r="Q74" s="218"/>
    </row>
    <row r="75" spans="1:17" ht="77.25" customHeight="1">
      <c r="A75" s="217" t="s">
        <v>77</v>
      </c>
      <c r="B75" s="217"/>
      <c r="C75" s="19" t="s">
        <v>78</v>
      </c>
      <c r="D75" s="21">
        <f>D74+D72+D70</f>
        <v>0</v>
      </c>
      <c r="E75" s="21">
        <f aca="true" t="shared" si="7" ref="E75:O75">E74+E72+E70</f>
        <v>0</v>
      </c>
      <c r="F75" s="21">
        <f t="shared" si="7"/>
        <v>0</v>
      </c>
      <c r="G75" s="21">
        <f t="shared" si="7"/>
        <v>0</v>
      </c>
      <c r="H75" s="21">
        <f t="shared" si="7"/>
        <v>0</v>
      </c>
      <c r="I75" s="21">
        <f t="shared" si="7"/>
        <v>7906364.9</v>
      </c>
      <c r="J75" s="21">
        <f t="shared" si="7"/>
        <v>0</v>
      </c>
      <c r="K75" s="21">
        <f t="shared" si="7"/>
        <v>0</v>
      </c>
      <c r="L75" s="21">
        <f t="shared" si="7"/>
        <v>0</v>
      </c>
      <c r="M75" s="21">
        <f t="shared" si="7"/>
        <v>0</v>
      </c>
      <c r="N75" s="21">
        <f t="shared" si="7"/>
        <v>0</v>
      </c>
      <c r="O75" s="21">
        <f t="shared" si="7"/>
        <v>0</v>
      </c>
      <c r="P75" s="218">
        <f t="shared" si="5"/>
        <v>7906364.9</v>
      </c>
      <c r="Q75" s="218"/>
    </row>
    <row r="77" spans="1:2" ht="21" customHeight="1">
      <c r="A77" s="16" t="s">
        <v>58</v>
      </c>
      <c r="B77" s="17" t="s">
        <v>218</v>
      </c>
    </row>
    <row r="80" spans="1:18" ht="29.25" customHeight="1">
      <c r="A80" s="215" t="s">
        <v>60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</row>
    <row r="83" ht="15">
      <c r="B83" s="1" t="s">
        <v>79</v>
      </c>
    </row>
    <row r="85" spans="1:17" ht="15" customHeight="1">
      <c r="A85" s="206" t="s">
        <v>51</v>
      </c>
      <c r="B85" s="206"/>
      <c r="C85" s="206"/>
      <c r="D85" s="206" t="s">
        <v>69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 t="s">
        <v>64</v>
      </c>
      <c r="Q85" s="206"/>
    </row>
    <row r="86" spans="1:17" ht="15">
      <c r="A86" s="206"/>
      <c r="B86" s="206"/>
      <c r="C86" s="206"/>
      <c r="D86" s="11">
        <v>1</v>
      </c>
      <c r="E86" s="11">
        <v>2</v>
      </c>
      <c r="F86" s="11">
        <v>3</v>
      </c>
      <c r="G86" s="11">
        <v>4</v>
      </c>
      <c r="H86" s="11">
        <v>5</v>
      </c>
      <c r="I86" s="11">
        <v>6</v>
      </c>
      <c r="J86" s="11">
        <v>7</v>
      </c>
      <c r="K86" s="11">
        <v>8</v>
      </c>
      <c r="L86" s="11">
        <v>9</v>
      </c>
      <c r="M86" s="11">
        <v>10</v>
      </c>
      <c r="N86" s="11">
        <v>11</v>
      </c>
      <c r="O86" s="11">
        <v>12</v>
      </c>
      <c r="P86" s="206"/>
      <c r="Q86" s="206"/>
    </row>
    <row r="87" spans="1:17" ht="94.5" customHeight="1">
      <c r="A87" s="219" t="s">
        <v>243</v>
      </c>
      <c r="B87" s="219"/>
      <c r="C87" s="219"/>
      <c r="D87" s="23">
        <f>D88</f>
        <v>0</v>
      </c>
      <c r="E87" s="23">
        <f aca="true" t="shared" si="8" ref="E87:O87">E88</f>
        <v>0</v>
      </c>
      <c r="F87" s="23">
        <f t="shared" si="8"/>
        <v>0</v>
      </c>
      <c r="G87" s="23">
        <f t="shared" si="8"/>
        <v>0</v>
      </c>
      <c r="H87" s="23">
        <f t="shared" si="8"/>
        <v>0</v>
      </c>
      <c r="I87" s="23">
        <f t="shared" si="8"/>
        <v>1394762.3</v>
      </c>
      <c r="J87" s="23">
        <f t="shared" si="8"/>
        <v>0</v>
      </c>
      <c r="K87" s="23">
        <f t="shared" si="8"/>
        <v>0</v>
      </c>
      <c r="L87" s="23">
        <f t="shared" si="8"/>
        <v>0</v>
      </c>
      <c r="M87" s="23">
        <f t="shared" si="8"/>
        <v>0</v>
      </c>
      <c r="N87" s="23">
        <f t="shared" si="8"/>
        <v>0</v>
      </c>
      <c r="O87" s="23">
        <f t="shared" si="8"/>
        <v>0</v>
      </c>
      <c r="P87" s="213">
        <f>SUM(D87:O87)</f>
        <v>1394762.3</v>
      </c>
      <c r="Q87" s="213"/>
    </row>
    <row r="88" spans="1:17" ht="39.75" customHeight="1">
      <c r="A88" s="214" t="s">
        <v>75</v>
      </c>
      <c r="B88" s="214"/>
      <c r="C88" s="214"/>
      <c r="D88" s="24"/>
      <c r="E88" s="24"/>
      <c r="F88" s="24"/>
      <c r="G88" s="24"/>
      <c r="H88" s="24"/>
      <c r="I88" s="24">
        <v>1394762.3</v>
      </c>
      <c r="J88" s="24"/>
      <c r="K88" s="24"/>
      <c r="L88" s="24"/>
      <c r="M88" s="24"/>
      <c r="N88" s="24"/>
      <c r="O88" s="24"/>
      <c r="P88" s="213">
        <f>SUM(D88:O88)</f>
        <v>1394762.3</v>
      </c>
      <c r="Q88" s="213"/>
    </row>
    <row r="90" spans="1:2" ht="15">
      <c r="A90" s="16" t="s">
        <v>58</v>
      </c>
      <c r="B90" s="17" t="s">
        <v>218</v>
      </c>
    </row>
    <row r="92" spans="1:18" ht="33" customHeight="1">
      <c r="A92" s="215" t="s">
        <v>60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</row>
    <row r="95" ht="15">
      <c r="B95" s="1" t="s">
        <v>81</v>
      </c>
    </row>
    <row r="97" spans="1:17" ht="15" customHeight="1">
      <c r="A97" s="206" t="s">
        <v>82</v>
      </c>
      <c r="B97" s="206"/>
      <c r="C97" s="206"/>
      <c r="D97" s="206" t="s">
        <v>69</v>
      </c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 t="s">
        <v>64</v>
      </c>
      <c r="Q97" s="206"/>
    </row>
    <row r="98" spans="1:17" ht="15">
      <c r="A98" s="206"/>
      <c r="B98" s="206"/>
      <c r="C98" s="206"/>
      <c r="D98" s="11">
        <v>1</v>
      </c>
      <c r="E98" s="11">
        <v>2</v>
      </c>
      <c r="F98" s="11">
        <v>3</v>
      </c>
      <c r="G98" s="11">
        <v>4</v>
      </c>
      <c r="H98" s="11">
        <v>5</v>
      </c>
      <c r="I98" s="11">
        <v>6</v>
      </c>
      <c r="J98" s="11">
        <v>7</v>
      </c>
      <c r="K98" s="11">
        <v>8</v>
      </c>
      <c r="L98" s="11">
        <v>9</v>
      </c>
      <c r="M98" s="11">
        <v>10</v>
      </c>
      <c r="N98" s="11">
        <v>11</v>
      </c>
      <c r="O98" s="11">
        <v>12</v>
      </c>
      <c r="P98" s="206"/>
      <c r="Q98" s="206"/>
    </row>
    <row r="99" spans="1:17" ht="102" customHeight="1">
      <c r="A99" s="219" t="s">
        <v>243</v>
      </c>
      <c r="B99" s="219"/>
      <c r="C99" s="219"/>
      <c r="D99" s="25">
        <f>D101+D102+D103+D105+D106+D107+D100+D104</f>
        <v>0</v>
      </c>
      <c r="E99" s="25">
        <f aca="true" t="shared" si="9" ref="E99:O99">E101+E102+E103+E105+E106+E107+E100+E104</f>
        <v>0</v>
      </c>
      <c r="F99" s="25">
        <f t="shared" si="9"/>
        <v>0</v>
      </c>
      <c r="G99" s="25">
        <f t="shared" si="9"/>
        <v>0</v>
      </c>
      <c r="H99" s="25">
        <f t="shared" si="9"/>
        <v>0</v>
      </c>
      <c r="I99" s="25">
        <f t="shared" si="9"/>
        <v>0</v>
      </c>
      <c r="J99" s="25">
        <f t="shared" si="9"/>
        <v>654051</v>
      </c>
      <c r="K99" s="25">
        <f t="shared" si="9"/>
        <v>0</v>
      </c>
      <c r="L99" s="25">
        <f t="shared" si="9"/>
        <v>0</v>
      </c>
      <c r="M99" s="25">
        <f t="shared" si="9"/>
        <v>0</v>
      </c>
      <c r="N99" s="25">
        <f t="shared" si="9"/>
        <v>0</v>
      </c>
      <c r="O99" s="25">
        <f t="shared" si="9"/>
        <v>0</v>
      </c>
      <c r="P99" s="213">
        <f>SUM(D99:O99)</f>
        <v>654051</v>
      </c>
      <c r="Q99" s="213"/>
    </row>
    <row r="100" spans="1:17" ht="60" customHeight="1">
      <c r="A100" s="219" t="s">
        <v>244</v>
      </c>
      <c r="B100" s="219"/>
      <c r="C100" s="219"/>
      <c r="D100" s="25"/>
      <c r="E100" s="25"/>
      <c r="F100" s="25"/>
      <c r="G100" s="25"/>
      <c r="H100" s="25"/>
      <c r="I100" s="25"/>
      <c r="J100" s="25">
        <v>55000</v>
      </c>
      <c r="K100" s="25"/>
      <c r="L100" s="25"/>
      <c r="M100" s="25"/>
      <c r="N100" s="25"/>
      <c r="O100" s="25"/>
      <c r="P100" s="213">
        <f>SUM(D100:O100)</f>
        <v>55000</v>
      </c>
      <c r="Q100" s="213"/>
    </row>
    <row r="101" spans="1:17" ht="38.25" customHeight="1">
      <c r="A101" s="210" t="s">
        <v>85</v>
      </c>
      <c r="B101" s="210"/>
      <c r="C101" s="210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13">
        <f aca="true" t="shared" si="10" ref="P101:P107">SUM(D101:O101)</f>
        <v>0</v>
      </c>
      <c r="Q101" s="213"/>
    </row>
    <row r="102" spans="1:17" ht="36.75" customHeight="1">
      <c r="A102" s="210" t="s">
        <v>86</v>
      </c>
      <c r="B102" s="210"/>
      <c r="C102" s="21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13">
        <f t="shared" si="10"/>
        <v>0</v>
      </c>
      <c r="Q102" s="213"/>
    </row>
    <row r="103" spans="1:17" ht="112.5" customHeight="1">
      <c r="A103" s="210" t="s">
        <v>219</v>
      </c>
      <c r="B103" s="210"/>
      <c r="C103" s="210"/>
      <c r="D103" s="25"/>
      <c r="E103" s="25"/>
      <c r="F103" s="25"/>
      <c r="G103" s="25"/>
      <c r="H103" s="25"/>
      <c r="I103" s="25"/>
      <c r="J103" s="25">
        <v>14325</v>
      </c>
      <c r="K103" s="25"/>
      <c r="L103" s="25"/>
      <c r="M103" s="25"/>
      <c r="N103" s="25"/>
      <c r="O103" s="25"/>
      <c r="P103" s="213">
        <f t="shared" si="10"/>
        <v>14325</v>
      </c>
      <c r="Q103" s="213"/>
    </row>
    <row r="104" spans="1:17" ht="53.25" customHeight="1">
      <c r="A104" s="220" t="s">
        <v>88</v>
      </c>
      <c r="B104" s="220"/>
      <c r="C104" s="220"/>
      <c r="D104" s="25"/>
      <c r="E104" s="25"/>
      <c r="F104" s="25"/>
      <c r="G104" s="25"/>
      <c r="H104" s="25"/>
      <c r="I104" s="25"/>
      <c r="J104" s="25">
        <v>33490</v>
      </c>
      <c r="K104" s="25"/>
      <c r="L104" s="25"/>
      <c r="M104" s="25"/>
      <c r="N104" s="25"/>
      <c r="O104" s="25"/>
      <c r="P104" s="213">
        <f>SUM(D104:O104)</f>
        <v>33490</v>
      </c>
      <c r="Q104" s="213"/>
    </row>
    <row r="105" spans="1:17" ht="28.5" customHeight="1">
      <c r="A105" s="210" t="s">
        <v>90</v>
      </c>
      <c r="B105" s="210"/>
      <c r="C105" s="210"/>
      <c r="D105" s="25"/>
      <c r="E105" s="25"/>
      <c r="F105" s="25"/>
      <c r="G105" s="25"/>
      <c r="H105" s="25"/>
      <c r="I105" s="25"/>
      <c r="J105" s="25">
        <v>46617</v>
      </c>
      <c r="K105" s="25"/>
      <c r="L105" s="25"/>
      <c r="M105" s="25"/>
      <c r="N105" s="25"/>
      <c r="O105" s="25"/>
      <c r="P105" s="213">
        <f t="shared" si="10"/>
        <v>46617</v>
      </c>
      <c r="Q105" s="213"/>
    </row>
    <row r="106" spans="1:17" ht="49.5" customHeight="1">
      <c r="A106" s="210" t="s">
        <v>91</v>
      </c>
      <c r="B106" s="210"/>
      <c r="C106" s="210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13">
        <f t="shared" si="10"/>
        <v>0</v>
      </c>
      <c r="Q106" s="213"/>
    </row>
    <row r="107" spans="1:17" ht="44.25" customHeight="1">
      <c r="A107" s="210" t="s">
        <v>220</v>
      </c>
      <c r="B107" s="210"/>
      <c r="C107" s="210"/>
      <c r="D107" s="25"/>
      <c r="E107" s="25"/>
      <c r="F107" s="25"/>
      <c r="G107" s="25"/>
      <c r="H107" s="25"/>
      <c r="I107" s="25"/>
      <c r="J107" s="25">
        <v>504619</v>
      </c>
      <c r="K107" s="25"/>
      <c r="L107" s="25"/>
      <c r="M107" s="25"/>
      <c r="N107" s="25"/>
      <c r="O107" s="25"/>
      <c r="P107" s="213">
        <f t="shared" si="10"/>
        <v>504619</v>
      </c>
      <c r="Q107" s="213"/>
    </row>
    <row r="108" spans="1:17" ht="12.75" customHeight="1" hidden="1">
      <c r="A108" s="221"/>
      <c r="B108" s="221"/>
      <c r="C108" s="22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79"/>
      <c r="Q108" s="180"/>
    </row>
    <row r="109" spans="1:17" ht="12.75" customHeight="1" hidden="1">
      <c r="A109" s="221"/>
      <c r="B109" s="221"/>
      <c r="C109" s="22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79"/>
      <c r="Q109" s="180"/>
    </row>
    <row r="110" spans="1:17" ht="12.75" customHeight="1" hidden="1">
      <c r="A110" s="214" t="s">
        <v>96</v>
      </c>
      <c r="B110" s="214"/>
      <c r="C110" s="2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213"/>
      <c r="Q110" s="213"/>
    </row>
    <row r="111" spans="1:17" ht="12.75" customHeight="1" hidden="1">
      <c r="A111" s="214" t="s">
        <v>97</v>
      </c>
      <c r="B111" s="214"/>
      <c r="C111" s="21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213"/>
      <c r="Q111" s="213"/>
    </row>
    <row r="113" spans="1:2" ht="15">
      <c r="A113" s="16" t="s">
        <v>58</v>
      </c>
      <c r="B113" s="17" t="s">
        <v>218</v>
      </c>
    </row>
    <row r="115" spans="1:18" ht="29.25" customHeight="1">
      <c r="A115" s="215" t="s">
        <v>60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</row>
    <row r="118" ht="15">
      <c r="B118" s="1" t="s">
        <v>98</v>
      </c>
    </row>
    <row r="120" ht="15">
      <c r="B120" s="1" t="s">
        <v>99</v>
      </c>
    </row>
    <row r="122" spans="1:18" ht="42.75" customHeight="1">
      <c r="A122" s="26" t="s">
        <v>100</v>
      </c>
      <c r="B122" s="206" t="s">
        <v>101</v>
      </c>
      <c r="C122" s="206"/>
      <c r="D122" s="222" t="s">
        <v>102</v>
      </c>
      <c r="E122" s="222"/>
      <c r="F122" s="206" t="s">
        <v>103</v>
      </c>
      <c r="G122" s="206"/>
      <c r="H122" s="206"/>
      <c r="I122" s="206"/>
      <c r="J122" s="206"/>
      <c r="K122" s="206"/>
      <c r="L122" s="206"/>
      <c r="M122" s="206"/>
      <c r="N122" s="223" t="s">
        <v>104</v>
      </c>
      <c r="O122" s="223"/>
      <c r="P122" s="223"/>
      <c r="Q122" s="223"/>
      <c r="R122" s="223"/>
    </row>
    <row r="123" spans="1:18" ht="27.75" customHeight="1">
      <c r="A123" s="224" t="s">
        <v>105</v>
      </c>
      <c r="B123" s="224"/>
      <c r="C123" s="224"/>
      <c r="D123" s="224"/>
      <c r="E123" s="224"/>
      <c r="F123" s="225" t="s">
        <v>106</v>
      </c>
      <c r="G123" s="225"/>
      <c r="H123" s="225" t="s">
        <v>107</v>
      </c>
      <c r="I123" s="225"/>
      <c r="J123" s="225" t="s">
        <v>108</v>
      </c>
      <c r="K123" s="225"/>
      <c r="L123" s="225" t="s">
        <v>109</v>
      </c>
      <c r="M123" s="225"/>
      <c r="N123" s="225" t="s">
        <v>106</v>
      </c>
      <c r="O123" s="225"/>
      <c r="P123" s="7" t="s">
        <v>107</v>
      </c>
      <c r="Q123" s="7" t="s">
        <v>108</v>
      </c>
      <c r="R123" s="11" t="s">
        <v>109</v>
      </c>
    </row>
    <row r="124" spans="1:18" ht="58.5" customHeight="1">
      <c r="A124" s="27">
        <v>1</v>
      </c>
      <c r="B124" s="227" t="s">
        <v>245</v>
      </c>
      <c r="C124" s="227"/>
      <c r="D124" s="206"/>
      <c r="E124" s="206"/>
      <c r="F124" s="267" t="s">
        <v>246</v>
      </c>
      <c r="G124" s="267"/>
      <c r="H124" s="267" t="s">
        <v>246</v>
      </c>
      <c r="I124" s="267"/>
      <c r="J124" s="267" t="s">
        <v>246</v>
      </c>
      <c r="K124" s="267"/>
      <c r="L124" s="267" t="s">
        <v>246</v>
      </c>
      <c r="M124" s="267"/>
      <c r="N124" s="223"/>
      <c r="O124" s="223"/>
      <c r="P124" s="7"/>
      <c r="Q124" s="7"/>
      <c r="R124" s="11"/>
    </row>
    <row r="125" spans="1:18" ht="30" customHeight="1">
      <c r="A125" s="28">
        <v>2</v>
      </c>
      <c r="B125" s="220" t="s">
        <v>247</v>
      </c>
      <c r="C125" s="220"/>
      <c r="D125" s="221"/>
      <c r="E125" s="221"/>
      <c r="F125" s="208" t="s">
        <v>248</v>
      </c>
      <c r="G125" s="208"/>
      <c r="H125" s="208" t="s">
        <v>248</v>
      </c>
      <c r="I125" s="208"/>
      <c r="J125" s="208" t="s">
        <v>248</v>
      </c>
      <c r="K125" s="208"/>
      <c r="L125" s="208" t="s">
        <v>248</v>
      </c>
      <c r="M125" s="208"/>
      <c r="N125" s="221"/>
      <c r="O125" s="221"/>
      <c r="P125" s="28"/>
      <c r="Q125" s="28"/>
      <c r="R125" s="30"/>
    </row>
    <row r="126" spans="1:18" ht="49.5" customHeight="1">
      <c r="A126" s="28">
        <v>3</v>
      </c>
      <c r="B126" s="220" t="s">
        <v>249</v>
      </c>
      <c r="C126" s="220"/>
      <c r="D126" s="213"/>
      <c r="E126" s="213"/>
      <c r="F126" s="268" t="s">
        <v>250</v>
      </c>
      <c r="G126" s="268"/>
      <c r="H126" s="268" t="s">
        <v>250</v>
      </c>
      <c r="I126" s="268"/>
      <c r="J126" s="268" t="s">
        <v>250</v>
      </c>
      <c r="K126" s="268"/>
      <c r="L126" s="268" t="s">
        <v>250</v>
      </c>
      <c r="M126" s="268"/>
      <c r="N126" s="213"/>
      <c r="O126" s="213"/>
      <c r="P126" s="15"/>
      <c r="Q126" s="15"/>
      <c r="R126" s="31"/>
    </row>
    <row r="127" spans="1:18" ht="96" customHeight="1">
      <c r="A127" s="31">
        <v>4</v>
      </c>
      <c r="B127" s="220" t="s">
        <v>251</v>
      </c>
      <c r="C127" s="220"/>
      <c r="D127" s="233"/>
      <c r="E127" s="233"/>
      <c r="F127" s="208" t="s">
        <v>252</v>
      </c>
      <c r="G127" s="208"/>
      <c r="H127" s="208" t="s">
        <v>252</v>
      </c>
      <c r="I127" s="208"/>
      <c r="J127" s="208" t="s">
        <v>252</v>
      </c>
      <c r="K127" s="208"/>
      <c r="L127" s="208" t="s">
        <v>252</v>
      </c>
      <c r="M127" s="208"/>
      <c r="N127" s="233"/>
      <c r="O127" s="233"/>
      <c r="P127" s="31"/>
      <c r="Q127" s="31"/>
      <c r="R127" s="31"/>
    </row>
    <row r="130" spans="1:18" ht="30.75" customHeight="1">
      <c r="A130" s="215" t="s">
        <v>60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</row>
    <row r="133" ht="15">
      <c r="B133" s="1" t="s">
        <v>126</v>
      </c>
    </row>
    <row r="135" spans="1:18" ht="26.25" customHeight="1">
      <c r="A135" s="26" t="s">
        <v>100</v>
      </c>
      <c r="B135" s="206" t="s">
        <v>101</v>
      </c>
      <c r="C135" s="206"/>
      <c r="D135" s="206"/>
      <c r="E135" s="206" t="s">
        <v>102</v>
      </c>
      <c r="F135" s="206"/>
      <c r="G135" s="206"/>
      <c r="H135" s="206"/>
      <c r="I135" s="233" t="s">
        <v>103</v>
      </c>
      <c r="J135" s="233"/>
      <c r="K135" s="233"/>
      <c r="L135" s="233"/>
      <c r="M135" s="233"/>
      <c r="N135" s="233" t="s">
        <v>104</v>
      </c>
      <c r="O135" s="233"/>
      <c r="P135" s="233"/>
      <c r="Q135" s="233"/>
      <c r="R135" s="36"/>
    </row>
    <row r="136" spans="1:17" ht="27" customHeight="1">
      <c r="A136" s="31">
        <v>1</v>
      </c>
      <c r="B136" s="220" t="s">
        <v>253</v>
      </c>
      <c r="C136" s="220"/>
      <c r="D136" s="220"/>
      <c r="E136" s="233"/>
      <c r="F136" s="233"/>
      <c r="G136" s="233"/>
      <c r="H136" s="233"/>
      <c r="I136" s="233" t="s">
        <v>254</v>
      </c>
      <c r="J136" s="233"/>
      <c r="K136" s="233"/>
      <c r="L136" s="233"/>
      <c r="M136" s="233"/>
      <c r="N136" s="233"/>
      <c r="O136" s="233"/>
      <c r="P136" s="233"/>
      <c r="Q136" s="233"/>
    </row>
    <row r="137" spans="1:17" ht="39.75" customHeight="1">
      <c r="A137" s="31">
        <v>2</v>
      </c>
      <c r="B137" s="220" t="s">
        <v>255</v>
      </c>
      <c r="C137" s="220"/>
      <c r="D137" s="220"/>
      <c r="E137" s="233"/>
      <c r="F137" s="233"/>
      <c r="G137" s="233"/>
      <c r="H137" s="233"/>
      <c r="I137" s="233" t="s">
        <v>256</v>
      </c>
      <c r="J137" s="233"/>
      <c r="K137" s="233"/>
      <c r="L137" s="233"/>
      <c r="M137" s="233"/>
      <c r="N137" s="233"/>
      <c r="O137" s="233"/>
      <c r="P137" s="233"/>
      <c r="Q137" s="233"/>
    </row>
    <row r="138" spans="1:17" ht="36" customHeight="1">
      <c r="A138" s="31">
        <v>3</v>
      </c>
      <c r="B138" s="220" t="s">
        <v>257</v>
      </c>
      <c r="C138" s="220"/>
      <c r="D138" s="220"/>
      <c r="E138" s="233"/>
      <c r="F138" s="233"/>
      <c r="G138" s="233"/>
      <c r="H138" s="233"/>
      <c r="I138" s="233" t="s">
        <v>258</v>
      </c>
      <c r="J138" s="233"/>
      <c r="K138" s="233"/>
      <c r="L138" s="233"/>
      <c r="M138" s="233"/>
      <c r="N138" s="233"/>
      <c r="O138" s="233"/>
      <c r="P138" s="233"/>
      <c r="Q138" s="233"/>
    </row>
    <row r="139" spans="1:17" ht="34.5" customHeight="1">
      <c r="A139" s="31">
        <v>4</v>
      </c>
      <c r="B139" s="220" t="s">
        <v>259</v>
      </c>
      <c r="C139" s="220"/>
      <c r="D139" s="220"/>
      <c r="E139" s="233"/>
      <c r="F139" s="233"/>
      <c r="G139" s="233"/>
      <c r="H139" s="233"/>
      <c r="I139" s="233" t="s">
        <v>254</v>
      </c>
      <c r="J139" s="233"/>
      <c r="K139" s="233"/>
      <c r="L139" s="233"/>
      <c r="M139" s="233"/>
      <c r="N139" s="233"/>
      <c r="O139" s="233"/>
      <c r="P139" s="233"/>
      <c r="Q139" s="233"/>
    </row>
    <row r="141" spans="1:2" ht="15">
      <c r="A141" s="16" t="s">
        <v>134</v>
      </c>
      <c r="B141" s="17" t="s">
        <v>135</v>
      </c>
    </row>
    <row r="143" spans="1:18" ht="30.75" customHeight="1">
      <c r="A143" s="215" t="s">
        <v>60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</row>
    <row r="146" ht="15">
      <c r="B146" s="1" t="s">
        <v>136</v>
      </c>
    </row>
    <row r="148" spans="1:17" ht="30" customHeight="1">
      <c r="A148" s="7" t="s">
        <v>100</v>
      </c>
      <c r="B148" s="239" t="s">
        <v>137</v>
      </c>
      <c r="C148" s="239"/>
      <c r="D148" s="239"/>
      <c r="E148" s="240" t="s">
        <v>138</v>
      </c>
      <c r="F148" s="240"/>
      <c r="G148" s="240"/>
      <c r="H148" s="240"/>
      <c r="I148" s="240" t="s">
        <v>139</v>
      </c>
      <c r="J148" s="240"/>
      <c r="K148" s="240"/>
      <c r="L148" s="240"/>
      <c r="M148" s="240"/>
      <c r="N148" s="240" t="s">
        <v>140</v>
      </c>
      <c r="O148" s="240"/>
      <c r="P148" s="240"/>
      <c r="Q148" s="240"/>
    </row>
    <row r="149" spans="1:17" ht="70.5" customHeight="1">
      <c r="A149" s="31">
        <v>1</v>
      </c>
      <c r="B149" s="220" t="s">
        <v>260</v>
      </c>
      <c r="C149" s="220"/>
      <c r="D149" s="220"/>
      <c r="E149" s="233">
        <v>2011</v>
      </c>
      <c r="F149" s="233"/>
      <c r="G149" s="233"/>
      <c r="H149" s="233"/>
      <c r="I149" s="241">
        <f>P56+P99</f>
        <v>9955178.200000001</v>
      </c>
      <c r="J149" s="241"/>
      <c r="K149" s="241"/>
      <c r="L149" s="241"/>
      <c r="M149" s="241"/>
      <c r="N149" s="233">
        <f>P38</f>
        <v>419</v>
      </c>
      <c r="O149" s="233"/>
      <c r="P149" s="233"/>
      <c r="Q149" s="233"/>
    </row>
    <row r="150" spans="1:17" ht="12.75" customHeight="1" hidden="1">
      <c r="A150" s="31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</row>
    <row r="151" spans="1:17" ht="12.75" customHeight="1" hidden="1">
      <c r="A151" s="31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</row>
    <row r="153" spans="1:18" ht="15" customHeight="1">
      <c r="A153" s="37" t="s">
        <v>142</v>
      </c>
      <c r="B153" s="38" t="s">
        <v>143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ht="13.5" customHeight="1">
      <c r="A154" s="1" t="s">
        <v>144</v>
      </c>
    </row>
    <row r="155" ht="14.25" customHeight="1">
      <c r="A155" s="1" t="s">
        <v>145</v>
      </c>
    </row>
    <row r="158" ht="15">
      <c r="B158" s="1" t="s">
        <v>146</v>
      </c>
    </row>
    <row r="160" spans="1:18" ht="61.5" customHeight="1">
      <c r="A160" s="245" t="s">
        <v>261</v>
      </c>
      <c r="B160" s="245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40"/>
    </row>
    <row r="163" ht="15">
      <c r="B163" s="1" t="s">
        <v>148</v>
      </c>
    </row>
    <row r="165" spans="1:17" ht="15">
      <c r="A165" s="233">
        <f>P56/P38</f>
        <v>22198.394272076373</v>
      </c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</row>
    <row r="168" ht="15">
      <c r="B168" s="1" t="s">
        <v>149</v>
      </c>
    </row>
    <row r="170" spans="1:17" ht="30.75" customHeight="1">
      <c r="A170" s="245" t="s">
        <v>150</v>
      </c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3" ht="15">
      <c r="B173" s="1" t="s">
        <v>151</v>
      </c>
    </row>
    <row r="174" ht="9" customHeight="1"/>
    <row r="175" spans="1:17" ht="86.25" customHeight="1">
      <c r="A175" s="220" t="s">
        <v>152</v>
      </c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</row>
    <row r="176" spans="1:17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 ht="15">
      <c r="A177" s="41"/>
      <c r="B177" s="41" t="s">
        <v>153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 ht="35.25" customHeight="1">
      <c r="A179" s="246" t="s">
        <v>154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1:17" ht="15">
      <c r="A180" s="42" t="s">
        <v>155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</row>
    <row r="181" spans="1:17" ht="24.75" customHeight="1">
      <c r="A181" s="242" t="s">
        <v>156</v>
      </c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</row>
    <row r="182" spans="1:17" ht="15">
      <c r="A182" s="243" t="s">
        <v>157</v>
      </c>
      <c r="B182" s="243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</row>
    <row r="183" spans="1:17" ht="15">
      <c r="A183" s="45" t="s">
        <v>158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7"/>
    </row>
    <row r="184" spans="1:17" ht="15">
      <c r="A184" s="48" t="s">
        <v>159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50"/>
    </row>
    <row r="186" spans="2:14" ht="15">
      <c r="B186" s="205" t="s">
        <v>160</v>
      </c>
      <c r="C186" s="205"/>
      <c r="D186" s="205"/>
      <c r="E186" s="205"/>
      <c r="I186" s="49"/>
      <c r="J186" s="49"/>
      <c r="K186" s="244" t="s">
        <v>161</v>
      </c>
      <c r="L186" s="244"/>
      <c r="M186" s="244"/>
      <c r="N186" s="1" t="s">
        <v>162</v>
      </c>
    </row>
    <row r="188" spans="2:8" ht="15">
      <c r="B188" s="1" t="s">
        <v>163</v>
      </c>
      <c r="C188" s="49"/>
      <c r="E188" s="51" t="s">
        <v>164</v>
      </c>
      <c r="F188" s="49"/>
      <c r="G188" s="49"/>
      <c r="H188" s="49"/>
    </row>
    <row r="191" spans="2:14" ht="15">
      <c r="B191" s="205" t="s">
        <v>262</v>
      </c>
      <c r="C191" s="205"/>
      <c r="D191" s="205"/>
      <c r="E191" s="205"/>
      <c r="I191" s="49"/>
      <c r="J191" s="49"/>
      <c r="K191" s="244" t="s">
        <v>263</v>
      </c>
      <c r="L191" s="244"/>
      <c r="M191" s="244"/>
      <c r="N191" s="1" t="s">
        <v>162</v>
      </c>
    </row>
    <row r="193" spans="2:8" ht="15">
      <c r="B193" s="1" t="s">
        <v>163</v>
      </c>
      <c r="C193" s="49"/>
      <c r="E193" s="51" t="s">
        <v>164</v>
      </c>
      <c r="F193" s="49"/>
      <c r="G193" s="49"/>
      <c r="H193" s="49"/>
    </row>
  </sheetData>
  <sheetProtection/>
  <mergeCells count="207">
    <mergeCell ref="A182:Q182"/>
    <mergeCell ref="B186:E186"/>
    <mergeCell ref="K186:M186"/>
    <mergeCell ref="B191:E191"/>
    <mergeCell ref="K191:M191"/>
    <mergeCell ref="A160:Q160"/>
    <mergeCell ref="A165:Q165"/>
    <mergeCell ref="A170:Q170"/>
    <mergeCell ref="A175:Q175"/>
    <mergeCell ref="A179:Q179"/>
    <mergeCell ref="A181:Q181"/>
    <mergeCell ref="B150:D150"/>
    <mergeCell ref="E150:H150"/>
    <mergeCell ref="I150:M150"/>
    <mergeCell ref="N150:Q150"/>
    <mergeCell ref="B151:D151"/>
    <mergeCell ref="E151:H151"/>
    <mergeCell ref="I151:M151"/>
    <mergeCell ref="N151:Q151"/>
    <mergeCell ref="A143:R143"/>
    <mergeCell ref="B148:D148"/>
    <mergeCell ref="E148:H148"/>
    <mergeCell ref="I148:M148"/>
    <mergeCell ref="N148:Q148"/>
    <mergeCell ref="B149:D149"/>
    <mergeCell ref="E149:H149"/>
    <mergeCell ref="I149:M149"/>
    <mergeCell ref="N149:Q149"/>
    <mergeCell ref="B138:D138"/>
    <mergeCell ref="E138:H138"/>
    <mergeCell ref="I138:M138"/>
    <mergeCell ref="N138:Q138"/>
    <mergeCell ref="B139:D139"/>
    <mergeCell ref="E139:H139"/>
    <mergeCell ref="I139:M139"/>
    <mergeCell ref="N139:Q139"/>
    <mergeCell ref="B136:D136"/>
    <mergeCell ref="E136:H136"/>
    <mergeCell ref="I136:M136"/>
    <mergeCell ref="N136:Q136"/>
    <mergeCell ref="B137:D137"/>
    <mergeCell ref="E137:H137"/>
    <mergeCell ref="I137:M137"/>
    <mergeCell ref="N137:Q137"/>
    <mergeCell ref="N127:O127"/>
    <mergeCell ref="A130:R130"/>
    <mergeCell ref="B135:D135"/>
    <mergeCell ref="E135:H135"/>
    <mergeCell ref="I135:M135"/>
    <mergeCell ref="N135:Q135"/>
    <mergeCell ref="B127:C127"/>
    <mergeCell ref="D127:E127"/>
    <mergeCell ref="F127:G127"/>
    <mergeCell ref="H127:I127"/>
    <mergeCell ref="J127:K127"/>
    <mergeCell ref="L127:M127"/>
    <mergeCell ref="N125:O125"/>
    <mergeCell ref="B126:C126"/>
    <mergeCell ref="D126:E126"/>
    <mergeCell ref="F126:G126"/>
    <mergeCell ref="H126:I126"/>
    <mergeCell ref="J126:K126"/>
    <mergeCell ref="L126:M126"/>
    <mergeCell ref="N126:O126"/>
    <mergeCell ref="B125:C125"/>
    <mergeCell ref="D125:E125"/>
    <mergeCell ref="F125:G125"/>
    <mergeCell ref="H125:I125"/>
    <mergeCell ref="J125:K125"/>
    <mergeCell ref="L125:M125"/>
    <mergeCell ref="N123:O123"/>
    <mergeCell ref="B124:C124"/>
    <mergeCell ref="D124:E124"/>
    <mergeCell ref="F124:G124"/>
    <mergeCell ref="H124:I124"/>
    <mergeCell ref="J124:K124"/>
    <mergeCell ref="L124:M124"/>
    <mergeCell ref="N124:O124"/>
    <mergeCell ref="A115:R115"/>
    <mergeCell ref="B122:C122"/>
    <mergeCell ref="D122:E122"/>
    <mergeCell ref="F122:M122"/>
    <mergeCell ref="N122:R122"/>
    <mergeCell ref="A123:E123"/>
    <mergeCell ref="F123:G123"/>
    <mergeCell ref="H123:I123"/>
    <mergeCell ref="J123:K123"/>
    <mergeCell ref="L123:M123"/>
    <mergeCell ref="A108:C108"/>
    <mergeCell ref="A109:C109"/>
    <mergeCell ref="A110:C110"/>
    <mergeCell ref="P110:Q110"/>
    <mergeCell ref="A111:C111"/>
    <mergeCell ref="P111:Q111"/>
    <mergeCell ref="A105:C105"/>
    <mergeCell ref="P105:Q105"/>
    <mergeCell ref="A106:C106"/>
    <mergeCell ref="P106:Q106"/>
    <mergeCell ref="A107:C107"/>
    <mergeCell ref="P107:Q107"/>
    <mergeCell ref="A102:C102"/>
    <mergeCell ref="P102:Q102"/>
    <mergeCell ref="A103:C103"/>
    <mergeCell ref="P103:Q103"/>
    <mergeCell ref="A104:C104"/>
    <mergeCell ref="P104:Q104"/>
    <mergeCell ref="A99:C99"/>
    <mergeCell ref="P99:Q99"/>
    <mergeCell ref="A100:C100"/>
    <mergeCell ref="P100:Q100"/>
    <mergeCell ref="A101:C101"/>
    <mergeCell ref="P101:Q101"/>
    <mergeCell ref="A87:C87"/>
    <mergeCell ref="P87:Q87"/>
    <mergeCell ref="A88:C88"/>
    <mergeCell ref="P88:Q88"/>
    <mergeCell ref="A92:R92"/>
    <mergeCell ref="A97:C98"/>
    <mergeCell ref="D97:O97"/>
    <mergeCell ref="P97:Q98"/>
    <mergeCell ref="A75:B75"/>
    <mergeCell ref="P75:Q75"/>
    <mergeCell ref="A80:R80"/>
    <mergeCell ref="A85:C86"/>
    <mergeCell ref="D85:O85"/>
    <mergeCell ref="P85:Q86"/>
    <mergeCell ref="A71:B72"/>
    <mergeCell ref="P71:Q71"/>
    <mergeCell ref="P72:Q72"/>
    <mergeCell ref="A73:B74"/>
    <mergeCell ref="P73:Q73"/>
    <mergeCell ref="P74:Q74"/>
    <mergeCell ref="A61:R61"/>
    <mergeCell ref="A67:B68"/>
    <mergeCell ref="C67:C68"/>
    <mergeCell ref="D67:O67"/>
    <mergeCell ref="P67:Q68"/>
    <mergeCell ref="A69:B70"/>
    <mergeCell ref="P69:Q69"/>
    <mergeCell ref="P70:Q70"/>
    <mergeCell ref="A47:R47"/>
    <mergeCell ref="A54:C55"/>
    <mergeCell ref="D54:O54"/>
    <mergeCell ref="P54:Q55"/>
    <mergeCell ref="A56:C56"/>
    <mergeCell ref="P56:Q56"/>
    <mergeCell ref="A39:C39"/>
    <mergeCell ref="P39:Q39"/>
    <mergeCell ref="A40:C40"/>
    <mergeCell ref="P40:Q40"/>
    <mergeCell ref="A41:C41"/>
    <mergeCell ref="P41:Q41"/>
    <mergeCell ref="N32:O32"/>
    <mergeCell ref="A36:C37"/>
    <mergeCell ref="D36:O36"/>
    <mergeCell ref="P36:Q37"/>
    <mergeCell ref="A38:C38"/>
    <mergeCell ref="P38:Q38"/>
    <mergeCell ref="A32:B32"/>
    <mergeCell ref="D32:E32"/>
    <mergeCell ref="F32:G32"/>
    <mergeCell ref="H32:I32"/>
    <mergeCell ref="J32:K32"/>
    <mergeCell ref="L32:M32"/>
    <mergeCell ref="L30:M30"/>
    <mergeCell ref="N30:O30"/>
    <mergeCell ref="A31:B31"/>
    <mergeCell ref="D31:E31"/>
    <mergeCell ref="F31:G31"/>
    <mergeCell ref="H31:I31"/>
    <mergeCell ref="J31:K31"/>
    <mergeCell ref="L31:M31"/>
    <mergeCell ref="A28:B30"/>
    <mergeCell ref="C28:C30"/>
    <mergeCell ref="D28:R28"/>
    <mergeCell ref="D29:I29"/>
    <mergeCell ref="J29:O29"/>
    <mergeCell ref="P29:R29"/>
    <mergeCell ref="D30:E30"/>
    <mergeCell ref="F30:G30"/>
    <mergeCell ref="H30:I30"/>
    <mergeCell ref="J23:K23"/>
    <mergeCell ref="L23:M23"/>
    <mergeCell ref="N23:O23"/>
    <mergeCell ref="Q23:R23"/>
    <mergeCell ref="D22:E22"/>
    <mergeCell ref="N31:O31"/>
    <mergeCell ref="A12:R12"/>
    <mergeCell ref="A13:R13"/>
    <mergeCell ref="A14:R14"/>
    <mergeCell ref="D21:E21"/>
    <mergeCell ref="F21:G21"/>
    <mergeCell ref="J30:K30"/>
    <mergeCell ref="Q22:R22"/>
    <mergeCell ref="D23:E23"/>
    <mergeCell ref="F23:G23"/>
    <mergeCell ref="H23:I23"/>
    <mergeCell ref="H21:I21"/>
    <mergeCell ref="J21:K21"/>
    <mergeCell ref="L21:M21"/>
    <mergeCell ref="N21:O21"/>
    <mergeCell ref="Q21:R21"/>
    <mergeCell ref="F22:G22"/>
    <mergeCell ref="H22:I22"/>
    <mergeCell ref="J22:K22"/>
    <mergeCell ref="L22:M22"/>
    <mergeCell ref="N22:O22"/>
  </mergeCells>
  <printOptions/>
  <pageMargins left="0.27569444444444446" right="0.3541666666666667" top="0.1798611111111111" bottom="0.15" header="0.5118055555555555" footer="0.5118055555555555"/>
  <pageSetup horizontalDpi="300" verticalDpi="300" orientation="landscape" paperSize="9" scale="99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activeCellId="1" sqref="D119:I119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19:I119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Ушастый_Нек</dc:creator>
  <cp:keywords/>
  <dc:description/>
  <cp:lastModifiedBy>Главбух</cp:lastModifiedBy>
  <cp:lastPrinted>2013-02-08T13:01:31Z</cp:lastPrinted>
  <dcterms:created xsi:type="dcterms:W3CDTF">2012-12-17T18:17:55Z</dcterms:created>
  <dcterms:modified xsi:type="dcterms:W3CDTF">2013-02-19T05:23:11Z</dcterms:modified>
  <cp:category/>
  <cp:version/>
  <cp:contentType/>
  <cp:contentStatus/>
</cp:coreProperties>
</file>